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drawings/drawing15.xml" ContentType="application/vnd.openxmlformats-officedocument.drawing+xml"/>
  <Override PartName="/xl/worksheets/sheet19.xml" ContentType="application/vnd.openxmlformats-officedocument.spreadsheetml.worksheet+xml"/>
  <Override PartName="/xl/drawings/drawing1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4" yWindow="65524" windowWidth="10440" windowHeight="5820" tabRatio="947" activeTab="0"/>
  </bookViews>
  <sheets>
    <sheet name="Proportionality" sheetId="1" r:id="rId1"/>
    <sheet name="Land Use Chart" sheetId="2" r:id="rId2"/>
    <sheet name="Summary of Roadway Costs" sheetId="3" r:id="rId3"/>
    <sheet name="PayItems" sheetId="4" r:id="rId4"/>
    <sheet name="ResCol" sheetId="5" r:id="rId5"/>
    <sheet name="NeighCol" sheetId="6" r:id="rId6"/>
    <sheet name="CommCol" sheetId="7" r:id="rId7"/>
    <sheet name="IndCol" sheetId="8" r:id="rId8"/>
    <sheet name="PCU4" sheetId="9" r:id="rId9"/>
    <sheet name="PCU5" sheetId="10" r:id="rId10"/>
    <sheet name="PCD4" sheetId="11" r:id="rId11"/>
    <sheet name="PCD6" sheetId="12" r:id="rId12"/>
    <sheet name="MND4" sheetId="13" r:id="rId13"/>
    <sheet name="MNR4" sheetId="14" r:id="rId14"/>
    <sheet name="MNR5" sheetId="15" r:id="rId15"/>
    <sheet name="MAD4" sheetId="16" r:id="rId16"/>
    <sheet name="MAU4" sheetId="17" r:id="rId17"/>
    <sheet name="MAD6" sheetId="18" r:id="rId18"/>
    <sheet name="MAD8" sheetId="19" r:id="rId19"/>
  </sheets>
  <externalReferences>
    <externalReference r:id="rId22"/>
  </externalReferences>
  <definedNames>
    <definedName name="AM_Equation_A" localSheetId="0">'Proportionality'!$BP$100:$BP$178</definedName>
    <definedName name="AM_Equation_B" localSheetId="0">'Proportionality'!$BQ$100:$BQ$178</definedName>
    <definedName name="AM_Equation_Type" localSheetId="0">'Proportionality'!$BO$100:$BO$178</definedName>
    <definedName name="AM_PB" localSheetId="0">'Proportionality'!$BM$100:$BM$179</definedName>
    <definedName name="AM_Trip_Rate" localSheetId="0">'Proportionality'!$BI$100:$BI$179</definedName>
    <definedName name="CrossSection">'Summary of Roadway Costs'!$B$4:$B$18</definedName>
    <definedName name="CrossSections">'Summary of Roadway Costs'!$B$3:$B$18</definedName>
    <definedName name="LandUses">'Land Use Chart'!$A$3:$A$80</definedName>
    <definedName name="List">'[1]NEW ROAD'!$A$2:$A$19</definedName>
    <definedName name="LU" localSheetId="0">'Proportionality'!$AZ$100:$BE$181</definedName>
    <definedName name="LU_EQN" localSheetId="0">'Proportionality'!$BB$100:$BB$181</definedName>
    <definedName name="LU_EQN_A" localSheetId="0">'Proportionality'!$BD$100:$BD$181</definedName>
    <definedName name="LU_EQN_B" localSheetId="0">'Proportionality'!$BE$100:$BE$181</definedName>
    <definedName name="LU_EQNTYP" localSheetId="0">'Proportionality'!$BC$100:$BC$181</definedName>
    <definedName name="LU_Name">'Proportionality'!$AZ$100:$AZ$181</definedName>
    <definedName name="LU_PB" localSheetId="0">'Proportionality'!$BA$100:$BA$181</definedName>
    <definedName name="LU_Trip_Rate" localSheetId="0">'Proportionality'!$BF$100:$BF$178</definedName>
    <definedName name="LU_Trip_Rate_2" localSheetId="0">'Proportionality'!$BF$100:$BF$178</definedName>
    <definedName name="NEW">'[1]NEW ROAD'!$A$4:$A$5</definedName>
    <definedName name="_xlnm.Print_Area" localSheetId="1">'Land Use Chart'!$A$1:$M$82</definedName>
    <definedName name="_xlnm.Print_Area" localSheetId="0">'Proportionality'!$B$2:$V$93</definedName>
    <definedName name="_xlnm.Print_Area" localSheetId="2">'Summary of Roadway Costs'!$A$1:$H$20</definedName>
    <definedName name="printa">#REF!</definedName>
  </definedNames>
  <calcPr fullCalcOnLoad="1"/>
</workbook>
</file>

<file path=xl/sharedStrings.xml><?xml version="1.0" encoding="utf-8"?>
<sst xmlns="http://schemas.openxmlformats.org/spreadsheetml/2006/main" count="2670" uniqueCount="501">
  <si>
    <r>
      <t>Roadway Supply</t>
    </r>
    <r>
      <rPr>
        <b/>
        <sz val="12"/>
        <rFont val="Arial"/>
        <family val="2"/>
      </rPr>
      <t>- Off-Site Roads to be Built or Funded by the Applicant:</t>
    </r>
  </si>
  <si>
    <t>a</t>
  </si>
  <si>
    <t>b</t>
  </si>
  <si>
    <t>c</t>
  </si>
  <si>
    <t>Primary business is sale of groceries, food, and household cleaning items; may include photo, pharmacy, video rental, and/or ATM.</t>
  </si>
  <si>
    <t>Modeled Trip Length Source*</t>
  </si>
  <si>
    <t>Classification</t>
  </si>
  <si>
    <t>Capacity (vphpl)</t>
  </si>
  <si>
    <t>Number of Lanes</t>
  </si>
  <si>
    <t>Cost Per Vehicle Mile (Demand)</t>
  </si>
  <si>
    <t>Cost per Mile 
(for use in Demand Calculations)</t>
  </si>
  <si>
    <t>Cost Per Foot Per Lane</t>
  </si>
  <si>
    <t>Rough Proportionality Worksheet</t>
  </si>
  <si>
    <t>for Roadway Infrastructure Improvements</t>
  </si>
  <si>
    <t>Development Name:</t>
  </si>
  <si>
    <t>Applicant:</t>
  </si>
  <si>
    <t>Case / Plat Number:</t>
  </si>
  <si>
    <t>Date:</t>
  </si>
  <si>
    <t>Trip Generation Method:</t>
  </si>
  <si>
    <t xml:space="preserve">  Linear Rates</t>
  </si>
  <si>
    <t xml:space="preserve">  Regression Equations</t>
  </si>
  <si>
    <t>Development Unit:</t>
  </si>
  <si>
    <t>Net Acres:</t>
  </si>
  <si>
    <t>Roadway Name:</t>
  </si>
  <si>
    <t>Classification:</t>
  </si>
  <si>
    <t>SUPPLY / DEMAND COMPARISON:</t>
  </si>
  <si>
    <t>A comparison of the capacity provided by a development against the traffic impacts of the proposed development.</t>
  </si>
  <si>
    <t>Comparison</t>
  </si>
  <si>
    <t>Note: Minimum Standards for access to and from a development may supersede the results of this analysis.</t>
  </si>
  <si>
    <t>Equation Type</t>
  </si>
  <si>
    <t>LAND USES</t>
  </si>
  <si>
    <t>X</t>
  </si>
  <si>
    <t>PORT AND TERMINAL</t>
  </si>
  <si>
    <t>DEV. UNIT</t>
  </si>
  <si>
    <t>TRIP RATE</t>
  </si>
  <si>
    <t>ROADWAY CLASSES</t>
  </si>
  <si>
    <t>CAPACITY (vphpl)</t>
  </si>
  <si>
    <t>Truck Terminal</t>
  </si>
  <si>
    <t>n/a</t>
  </si>
  <si>
    <t>INDUSTRIAL</t>
  </si>
  <si>
    <t>General Light Industrial</t>
  </si>
  <si>
    <t>Acre</t>
  </si>
  <si>
    <t>General Heavy Industrial</t>
  </si>
  <si>
    <t xml:space="preserve">Given these assumptions, only </t>
  </si>
  <si>
    <t>Industrial Park</t>
  </si>
  <si>
    <t>1,000 SF GFA</t>
  </si>
  <si>
    <t>Warehousing</t>
  </si>
  <si>
    <t>Mini-Warehouse</t>
  </si>
  <si>
    <t>RESIDENTIAL</t>
  </si>
  <si>
    <t xml:space="preserve">%. </t>
  </si>
  <si>
    <t>Single-Family Detached Housing</t>
  </si>
  <si>
    <t>Apartment/Multi-family</t>
  </si>
  <si>
    <t>Residential Condominium/Townhome</t>
  </si>
  <si>
    <t>Dwelling Unit</t>
  </si>
  <si>
    <t>Mobile Home Park</t>
  </si>
  <si>
    <t>Assisted Living</t>
  </si>
  <si>
    <t>Sensitivity</t>
  </si>
  <si>
    <t>LODGING</t>
  </si>
  <si>
    <t>Hotel</t>
  </si>
  <si>
    <t>Beds</t>
  </si>
  <si>
    <t>Motel / Other Lodging Facilities</t>
  </si>
  <si>
    <t>RECREATIONAL</t>
  </si>
  <si>
    <t>Room</t>
  </si>
  <si>
    <t>Golf Course</t>
  </si>
  <si>
    <t>Tee</t>
  </si>
  <si>
    <t>Multiplex Movie Theater</t>
  </si>
  <si>
    <t>Racquet / Tennis Club</t>
  </si>
  <si>
    <t>Hole</t>
  </si>
  <si>
    <t>INSTITUTIONAL</t>
  </si>
  <si>
    <t>Screens</t>
  </si>
  <si>
    <t>Church</t>
  </si>
  <si>
    <t>Court</t>
  </si>
  <si>
    <t>Day Care Center</t>
  </si>
  <si>
    <t>Primary/Middle School (1-8)</t>
  </si>
  <si>
    <t>High School (9-12)</t>
  </si>
  <si>
    <t>Jr / Community College</t>
  </si>
  <si>
    <t>Students</t>
  </si>
  <si>
    <t>University / College</t>
  </si>
  <si>
    <t>MEDICAL</t>
  </si>
  <si>
    <t>Clinic</t>
  </si>
  <si>
    <t>Hospital</t>
  </si>
  <si>
    <t>Nursing Home</t>
  </si>
  <si>
    <t>OFFICE</t>
  </si>
  <si>
    <t>Corporate Headquarters Building</t>
  </si>
  <si>
    <t>General Office Building</t>
  </si>
  <si>
    <t>Medical/Dental Office</t>
  </si>
  <si>
    <t>Single Tenant Office Building</t>
  </si>
  <si>
    <t>Office/Business Park</t>
  </si>
  <si>
    <t>COMMERCIAL</t>
  </si>
  <si>
    <t>Automobile Care Center</t>
  </si>
  <si>
    <t>Automobile Parts Sales</t>
  </si>
  <si>
    <t>Gasoline/Service Station</t>
  </si>
  <si>
    <t>Gasoline/Service Station w/ Conv Market</t>
  </si>
  <si>
    <t>Fueling Position</t>
  </si>
  <si>
    <t>New and Used Car Sales</t>
  </si>
  <si>
    <t>Quick Lubrication Vehicle Center</t>
  </si>
  <si>
    <t>Self-Service Car Wash</t>
  </si>
  <si>
    <t>Tire Store</t>
  </si>
  <si>
    <t>Service Position</t>
  </si>
  <si>
    <t>Stall</t>
  </si>
  <si>
    <t>Fast Food Restaurant with Drive-Thru</t>
  </si>
  <si>
    <t>Fast Food Restaurant without Drive-Thru</t>
  </si>
  <si>
    <t>High Turnover (Sit-Down) Restaurant</t>
  </si>
  <si>
    <t>Garden Center (Nursery)</t>
  </si>
  <si>
    <t>Home Improvement Superstore</t>
  </si>
  <si>
    <t>Shopping Center</t>
  </si>
  <si>
    <t>Supermarket</t>
  </si>
  <si>
    <t>Toy/Children's Superstore</t>
  </si>
  <si>
    <t>Video Rental Store</t>
  </si>
  <si>
    <t>SERVICES</t>
  </si>
  <si>
    <t>Bank (Walk-In)</t>
  </si>
  <si>
    <r>
      <t xml:space="preserve">Legal Description </t>
    </r>
    <r>
      <rPr>
        <b/>
        <sz val="10"/>
        <rFont val="Arial"/>
        <family val="2"/>
      </rPr>
      <t>(Lot, Block)</t>
    </r>
    <r>
      <rPr>
        <b/>
        <sz val="12"/>
        <rFont val="Arial"/>
        <family val="2"/>
      </rPr>
      <t>:</t>
    </r>
  </si>
  <si>
    <r>
      <t>DEMAND</t>
    </r>
    <r>
      <rPr>
        <b/>
        <sz val="12"/>
        <rFont val="Arial"/>
        <family val="2"/>
      </rPr>
      <t xml:space="preserve"> - Traffic Generated by Proposed Development:</t>
    </r>
  </si>
  <si>
    <r>
      <t>Land Use Type</t>
    </r>
    <r>
      <rPr>
        <b/>
        <vertAlign val="superscript"/>
        <sz val="10"/>
        <rFont val="Arial"/>
        <family val="2"/>
      </rPr>
      <t>1</t>
    </r>
    <r>
      <rPr>
        <b/>
        <sz val="9"/>
        <rFont val="Arial"/>
        <family val="2"/>
      </rPr>
      <t xml:space="preserve"> :</t>
    </r>
  </si>
  <si>
    <r>
      <t xml:space="preserve">Demand:
</t>
    </r>
    <r>
      <rPr>
        <sz val="9"/>
        <rFont val="Arial"/>
        <family val="2"/>
      </rPr>
      <t>(vehicle-miles)</t>
    </r>
  </si>
  <si>
    <r>
      <t xml:space="preserve">Zoning Class: </t>
    </r>
    <r>
      <rPr>
        <b/>
        <i/>
        <sz val="9"/>
        <rFont val="Arial"/>
        <family val="2"/>
      </rPr>
      <t>(when only zoning class is known at time of preliminary plat)</t>
    </r>
  </si>
  <si>
    <r>
      <t>Zoning Class</t>
    </r>
    <r>
      <rPr>
        <b/>
        <sz val="9"/>
        <rFont val="Arial"/>
        <family val="2"/>
      </rPr>
      <t>:</t>
    </r>
  </si>
  <si>
    <t>Land Use Category</t>
  </si>
  <si>
    <t>ITE Land Use Code</t>
  </si>
  <si>
    <t>Development Unit</t>
  </si>
  <si>
    <t>Trip Gen Rate (PM)</t>
  </si>
  <si>
    <t>Pass-by Rate</t>
  </si>
  <si>
    <t>Land Use Description</t>
  </si>
  <si>
    <t>030</t>
  </si>
  <si>
    <t>Point of good transfer between trucks or between trucks and rail</t>
  </si>
  <si>
    <t>110</t>
  </si>
  <si>
    <t>Emphasis on activities other than manufacturing; typically employing fewer than 500 workers</t>
  </si>
  <si>
    <t>120</t>
  </si>
  <si>
    <t>Primary activity is conversion of raw materials or parts into finished products</t>
  </si>
  <si>
    <t>130</t>
  </si>
  <si>
    <t>Area containing a number of industries or related facilities</t>
  </si>
  <si>
    <t>150</t>
  </si>
  <si>
    <t>Devoted to storage of materials but may included office and maintenance areas</t>
  </si>
  <si>
    <t>151</t>
  </si>
  <si>
    <t>Facilities with a number of units rented to others for the storage of goods</t>
  </si>
  <si>
    <t>210</t>
  </si>
  <si>
    <t>Single-family detached homes on individual lots</t>
  </si>
  <si>
    <t>220</t>
  </si>
  <si>
    <t>T = 0.55(X) + 17.65</t>
  </si>
  <si>
    <t>At least 4 rental dwelling units per building</t>
  </si>
  <si>
    <t>230</t>
  </si>
  <si>
    <t>Ln(T) = 0.82 Ln(X) + .32</t>
  </si>
  <si>
    <t>Single-family ownership units that have at least one other single-family owned unit within the same building</t>
  </si>
  <si>
    <t>240</t>
  </si>
  <si>
    <t>T = 0.57(X) + 2.06</t>
  </si>
  <si>
    <t>Typically installed on permanent foundations; may have community facilities (e.g. swimming pools, laundry)</t>
  </si>
  <si>
    <t>254</t>
  </si>
  <si>
    <t>Residential settings that provide either routine general protective oversight or assistance with activities.</t>
  </si>
  <si>
    <t>310</t>
  </si>
  <si>
    <t>Lodging facilities that typically have on-site restaurants, lounges, meeting and/or banquet rooms, or other retail shops and services</t>
  </si>
  <si>
    <t>320</t>
  </si>
  <si>
    <t>Lodging facilities that may have small on-site restaurant or buffet area but little or no meeting space</t>
  </si>
  <si>
    <t>432</t>
  </si>
  <si>
    <t>Facilities with driving tees for practice; may provide individual or group lessons; may have prop shop and/or refreshment facilities</t>
  </si>
  <si>
    <t>430</t>
  </si>
  <si>
    <t>T = 0.13(X) + 31.30</t>
  </si>
  <si>
    <t>May include municipal courses and private country clubs; may have driving ranges, pro shops, and restaurant/banquet facilities</t>
  </si>
  <si>
    <t>495</t>
  </si>
  <si>
    <t>Category includes racquet clubs, health/fitness clubs, can include facilities such as YMCA's</t>
  </si>
  <si>
    <t>465</t>
  </si>
  <si>
    <t>Rinks for ice skating and related sports; may contain spectator areas and refreshment facilities</t>
  </si>
  <si>
    <t>431</t>
  </si>
  <si>
    <t>One or more individual putting courses; category should not be used when part of a larger entertainment center(with batting cages, video games, etc)</t>
  </si>
  <si>
    <t>445</t>
  </si>
  <si>
    <t>Movie theater with audience seating, minimum of ten screens, lobby, and refreshment area.</t>
  </si>
  <si>
    <t>491</t>
  </si>
  <si>
    <t>Indoor or outdoor facilities specifically designed for playing tennis</t>
  </si>
  <si>
    <t>560</t>
  </si>
  <si>
    <t>Churches and houses of worship</t>
  </si>
  <si>
    <t>565</t>
  </si>
  <si>
    <t>Generally includes facilities for care of pre-school aged children, generally includes classrooms, offices, eating areas, and playgrounds</t>
  </si>
  <si>
    <t>522</t>
  </si>
  <si>
    <t>530</t>
  </si>
  <si>
    <t>540</t>
  </si>
  <si>
    <t>550</t>
  </si>
  <si>
    <t>630</t>
  </si>
  <si>
    <t>Facilities with limited diagnostic and outpatient care</t>
  </si>
  <si>
    <t>610</t>
  </si>
  <si>
    <t>Medical and surgical facilities with overnight accommodations</t>
  </si>
  <si>
    <t>620</t>
  </si>
  <si>
    <t>Rest and convalescent homes with residents who do little or no driving</t>
  </si>
  <si>
    <t>714</t>
  </si>
  <si>
    <t>Office building housing corporate headquarters of a single company or organization</t>
  </si>
  <si>
    <t>710</t>
  </si>
  <si>
    <t>Office buildings which house multiple tenants</t>
  </si>
  <si>
    <t>720</t>
  </si>
  <si>
    <t>Multi-tenant building with offices for physicians and/or dentists</t>
  </si>
  <si>
    <t>715</t>
  </si>
  <si>
    <t>Single tenant office buildings other than corporate headquarters</t>
  </si>
  <si>
    <t>750</t>
  </si>
  <si>
    <t>Office buildings (typically low-rise) in a campus setting and served by a common roadway system</t>
  </si>
  <si>
    <t>942</t>
  </si>
  <si>
    <t>Automobile repair and servicing including stereo installations and upholstering</t>
  </si>
  <si>
    <t>843</t>
  </si>
  <si>
    <t>T = 7.87(X) - 14.86</t>
  </si>
  <si>
    <t>Retail sale of auto parts but no on-site vehicle repair</t>
  </si>
  <si>
    <t>944</t>
  </si>
  <si>
    <t>Gasoline sales without convenience store or car wash; may include repair</t>
  </si>
  <si>
    <t>945</t>
  </si>
  <si>
    <t>Gasoline sales with convenience store where the primary business is gasoline sales</t>
  </si>
  <si>
    <t>Service Station w/ Market and Car Wash</t>
  </si>
  <si>
    <t>946</t>
  </si>
  <si>
    <t>Gasoline sales with convenience store and car washes where the primary business is gasoline sales</t>
  </si>
  <si>
    <t>841</t>
  </si>
  <si>
    <t>New car dealerships, typically with automobile servicing, part sales, and used car sales</t>
  </si>
  <si>
    <t>941</t>
  </si>
  <si>
    <t>Primary business is to perform oil changes and fluid/filter changes with other repair services not provided</t>
  </si>
  <si>
    <t>947</t>
  </si>
  <si>
    <t>Has stalls for driver to park and wash the vehicle</t>
  </si>
  <si>
    <t>848</t>
  </si>
  <si>
    <t>Primary business is sales and installation of tires; usually do not have large storage or warehouse area</t>
  </si>
  <si>
    <t>934</t>
  </si>
  <si>
    <t>High-turnover fast food restaurant for carry-out and eat-in customers with a drive-thru window</t>
  </si>
  <si>
    <t>933</t>
  </si>
  <si>
    <t>High-turnover fast food restaurant for carry-out and eat-in customers, but without a drive-thru window</t>
  </si>
  <si>
    <t>932</t>
  </si>
  <si>
    <t>Restaurants with turnover rates less than one hour; typically includes moderately-priced chain restaurants</t>
  </si>
  <si>
    <t>931</t>
  </si>
  <si>
    <t>Restaurants with turnover rates of one hour or longer; typically require reservations</t>
  </si>
  <si>
    <t>815</t>
  </si>
  <si>
    <t>Category includes free-standing stores with off-street parking; typically offer a variety of products and services with long store hours</t>
  </si>
  <si>
    <t>817</t>
  </si>
  <si>
    <t>Building with a yard of planting or landscape stock; may have office, storage, shipping or greenhouse facilities</t>
  </si>
  <si>
    <t>862</t>
  </si>
  <si>
    <t>Warehouse-type facilities offering a large variety of products and services including lumber, tool, paint, lighting, and fixtures, among other items.</t>
  </si>
  <si>
    <t>881</t>
  </si>
  <si>
    <t>Includes facilities with and without drive-thru windows</t>
  </si>
  <si>
    <t>820</t>
  </si>
  <si>
    <t>Integrated group of commercial establishments; planning, owned, and managed as a unit</t>
  </si>
  <si>
    <t>850</t>
  </si>
  <si>
    <t>864</t>
  </si>
  <si>
    <t>Businesses specializing in child-oriented merchandise</t>
  </si>
  <si>
    <t>896</t>
  </si>
  <si>
    <t>Ln(T) = 0.93 Ln(X) + 2.61</t>
  </si>
  <si>
    <t>Businesses specializing in retail of movies and games</t>
  </si>
  <si>
    <t>911</t>
  </si>
  <si>
    <t>Bank without drive-thru lanes</t>
  </si>
  <si>
    <t>912</t>
  </si>
  <si>
    <t>Bank with drive-thru lanes</t>
  </si>
  <si>
    <t>Equation Factor A</t>
  </si>
  <si>
    <t>Equation Factor B</t>
  </si>
  <si>
    <t>Equation Type
Linear = y=Ax+B
Power = y=Exp[(Aln(x))+B]</t>
  </si>
  <si>
    <t>Linear</t>
  </si>
  <si>
    <t>Power</t>
  </si>
  <si>
    <t>Equation</t>
  </si>
  <si>
    <t xml:space="preserve"> </t>
  </si>
  <si>
    <t>LU Row Number</t>
  </si>
  <si>
    <t>ZONING &gt; LU ROW</t>
  </si>
  <si>
    <r>
      <t>PM Peak Hour Trip Rate</t>
    </r>
    <r>
      <rPr>
        <b/>
        <vertAlign val="superscript"/>
        <sz val="10"/>
        <rFont val="Arial"/>
        <family val="2"/>
      </rPr>
      <t>3</t>
    </r>
    <r>
      <rPr>
        <b/>
        <vertAlign val="superscript"/>
        <sz val="9"/>
        <rFont val="Arial"/>
        <family val="2"/>
      </rPr>
      <t xml:space="preserve"> </t>
    </r>
    <r>
      <rPr>
        <b/>
        <sz val="9"/>
        <rFont val="Arial"/>
        <family val="2"/>
      </rPr>
      <t>:</t>
    </r>
  </si>
  <si>
    <r>
      <t>Internal Capture Rate</t>
    </r>
    <r>
      <rPr>
        <b/>
        <vertAlign val="superscript"/>
        <sz val="10"/>
        <rFont val="Arial"/>
        <family val="2"/>
      </rPr>
      <t>4</t>
    </r>
    <r>
      <rPr>
        <b/>
        <sz val="9"/>
        <rFont val="Arial"/>
        <family val="2"/>
      </rPr>
      <t xml:space="preserve"> :</t>
    </r>
  </si>
  <si>
    <r>
      <t>Trip Length</t>
    </r>
    <r>
      <rPr>
        <b/>
        <vertAlign val="superscript"/>
        <sz val="10"/>
        <rFont val="Arial"/>
        <family val="2"/>
      </rPr>
      <t>5</t>
    </r>
    <r>
      <rPr>
        <b/>
        <sz val="9"/>
        <rFont val="Arial"/>
        <family val="2"/>
      </rPr>
      <t xml:space="preserve">: 
</t>
    </r>
    <r>
      <rPr>
        <sz val="9"/>
        <rFont val="Arial"/>
        <family val="2"/>
      </rPr>
      <t>(miles)</t>
    </r>
  </si>
  <si>
    <r>
      <t>Intensity</t>
    </r>
    <r>
      <rPr>
        <b/>
        <vertAlign val="superscript"/>
        <sz val="10"/>
        <rFont val="Arial"/>
        <family val="2"/>
      </rPr>
      <t>2</t>
    </r>
    <r>
      <rPr>
        <b/>
        <sz val="9"/>
        <rFont val="Arial"/>
        <family val="2"/>
      </rPr>
      <t xml:space="preserve"> :</t>
    </r>
  </si>
  <si>
    <r>
      <t>Estimated Intensity</t>
    </r>
    <r>
      <rPr>
        <b/>
        <vertAlign val="superscript"/>
        <sz val="10"/>
        <rFont val="Arial"/>
        <family val="2"/>
      </rPr>
      <t>2</t>
    </r>
    <r>
      <rPr>
        <b/>
        <sz val="9"/>
        <rFont val="Arial"/>
        <family val="2"/>
      </rPr>
      <t xml:space="preserve"> :</t>
    </r>
  </si>
  <si>
    <r>
      <t xml:space="preserve">Roadway Length:
</t>
    </r>
    <r>
      <rPr>
        <sz val="9"/>
        <rFont val="Arial"/>
        <family val="2"/>
      </rPr>
      <t>(Feet)</t>
    </r>
  </si>
  <si>
    <t>Item Description</t>
  </si>
  <si>
    <t>Unit</t>
  </si>
  <si>
    <t>Unit Price</t>
  </si>
  <si>
    <t>cy</t>
  </si>
  <si>
    <t>Conceptual Level Project Cost Projection</t>
  </si>
  <si>
    <t>Project Information:</t>
  </si>
  <si>
    <t>Description:</t>
  </si>
  <si>
    <t>Name:</t>
  </si>
  <si>
    <t>Limits:</t>
  </si>
  <si>
    <t>Roadway Construction Cost Projection</t>
  </si>
  <si>
    <t>Quantity</t>
  </si>
  <si>
    <t>Item Cost</t>
  </si>
  <si>
    <t>Notes</t>
  </si>
  <si>
    <t>Allowance</t>
  </si>
  <si>
    <t>Pavement Markings/Markers</t>
  </si>
  <si>
    <t>Cost</t>
  </si>
  <si>
    <t xml:space="preserve">     OTHER RETAIL</t>
  </si>
  <si>
    <t xml:space="preserve">     DINING</t>
  </si>
  <si>
    <t xml:space="preserve">     AUTOMOBILE RELATED</t>
  </si>
  <si>
    <t>Bank (Drive-In)</t>
  </si>
  <si>
    <t>ROADWAY SUPPLY ADDED TO SYSTEM SUBTOTAL:</t>
  </si>
  <si>
    <t>RIGHT-OF-WAY DEDICATION SUPPLY ADDED TO SYSTEM SUBTOTAL:</t>
  </si>
  <si>
    <t>Description of Improvement:</t>
  </si>
  <si>
    <t>IMPACT OF DEMAND PLACED ON THOROUGHFARE SYSTEM:</t>
  </si>
  <si>
    <r>
      <t xml:space="preserve">Right-of-Way Dedication </t>
    </r>
    <r>
      <rPr>
        <b/>
        <sz val="12"/>
        <rFont val="Arial"/>
        <family val="2"/>
      </rPr>
      <t>- ROW to be dedicated by the Applicant:</t>
    </r>
  </si>
  <si>
    <t>General Description of ROW Dedication:</t>
  </si>
  <si>
    <t>ROW Dedication:</t>
  </si>
  <si>
    <t xml:space="preserve">Based on the results of this rough proportionality analysis, </t>
  </si>
  <si>
    <t>TOTAL IMPACT OF DEMAND PLACED ON THOROUGHFARE SYSTEM:</t>
  </si>
  <si>
    <t>TOTAL VALUE OF SUPPLY ADDED TO THOROUGHFARE SYSTEM:</t>
  </si>
  <si>
    <t>TOTAL VALUE OF CAPACITY (SUPPLY) ADDED TO THOROUGHFARE SYSTEM:</t>
  </si>
  <si>
    <t xml:space="preserve">the value of capacity (supply) provided by the proposed development exceeds the anticipated impact of demand it places on the system.  </t>
  </si>
  <si>
    <t xml:space="preserve">the anticipated impact of demand on the system exceeds the value of capacity (supply) provided by the proposed development.  </t>
  </si>
  <si>
    <t xml:space="preserve">the value of capacity (supply) provided by the proposed development roughly equals the anticipated impact of demand it places on the system.  </t>
  </si>
  <si>
    <t xml:space="preserve">% of the value of capacity supplied can be attributed to the proposed development.  </t>
  </si>
  <si>
    <t xml:space="preserve">Given these assumptions, the anticipated impact of demand of the development exceeds the value of capacity supplied by approximately </t>
  </si>
  <si>
    <t>Therefore, the roadway improvements are NOT roughly proportional to the impact of demand placed on the system (i.e. the applicant is adding more capacity than needed to support their development).</t>
  </si>
  <si>
    <t>Therefore, the roadway improvements required by the City are justified (i.e. the applicant is adding less capacity than needed to support their development).</t>
  </si>
  <si>
    <t>Therefore, the roadway improvements are roughly proportional to the demand placed on the system (i.e. the applicant is adding roughly the same amount of capacity as what is needed to support the development).</t>
  </si>
  <si>
    <t>PM Peak Hour Trip Rate</t>
  </si>
  <si>
    <t>Peak Period to Analyze:</t>
  </si>
  <si>
    <t>AM Peak</t>
  </si>
  <si>
    <t xml:space="preserve">PM Peak </t>
  </si>
  <si>
    <t>to provide the capacity (construction, engineering, and right-of-way dedication) for one vehicle mile.</t>
  </si>
  <si>
    <r>
      <t xml:space="preserve">Notes: </t>
    </r>
    <r>
      <rPr>
        <vertAlign val="superscript"/>
        <sz val="10"/>
        <rFont val="Arial"/>
        <family val="2"/>
      </rPr>
      <t>1</t>
    </r>
    <r>
      <rPr>
        <sz val="10"/>
        <rFont val="Arial"/>
        <family val="2"/>
      </rPr>
      <t xml:space="preserve"> Per the ITE Trip Generation Manual; </t>
    </r>
    <r>
      <rPr>
        <vertAlign val="superscript"/>
        <sz val="10"/>
        <rFont val="Arial"/>
        <family val="2"/>
      </rPr>
      <t>2</t>
    </r>
    <r>
      <rPr>
        <sz val="10"/>
        <rFont val="Arial"/>
        <family val="2"/>
      </rPr>
      <t xml:space="preserve"> Intensity is the amount of the development unit that is proposed; 3 Trip Rate is the trip generation rate with a reduction for pass-by's per the ITE Trip Generation Handbook. When regression equations are used, the rate is derived from the equation at the given intensity.  For uses without a regression equation, the rate defers back to the linear method and the cell is shaded gray. 4 Internal Capture should only be used when supported by a traffic study; 5 Default values for trip length will be applied; trip length data may be modified when justified; however shall not exceed the SA/BC MPO Modeled Trip Length; 6 Based on an estimated average cost of </t>
    </r>
  </si>
  <si>
    <r>
      <t xml:space="preserve">Peak 
Hour Trip Rate </t>
    </r>
    <r>
      <rPr>
        <b/>
        <vertAlign val="superscript"/>
        <sz val="9"/>
        <rFont val="Arial"/>
        <family val="2"/>
      </rPr>
      <t>3</t>
    </r>
    <r>
      <rPr>
        <b/>
        <sz val="9"/>
        <rFont val="Arial"/>
        <family val="2"/>
      </rPr>
      <t>:</t>
    </r>
  </si>
  <si>
    <t>Trip Gen Rate (AM)</t>
  </si>
  <si>
    <t>Fitted Curve Equation (PM)</t>
  </si>
  <si>
    <t>Fitted Curve Equation (AM)</t>
  </si>
  <si>
    <t>T = 1.18(X) - 89.28</t>
  </si>
  <si>
    <t>T = 0.49(X) + 3.73</t>
  </si>
  <si>
    <t>Ln(T) = 0.64Ln(X) + 0.96</t>
  </si>
  <si>
    <t>Ln(T) = 0.80 Ln(X) + 0.26</t>
  </si>
  <si>
    <t>Ln (T) = 0.63 Ln(X) +0.40</t>
  </si>
  <si>
    <t>T = 2.76(X) - 4.34</t>
  </si>
  <si>
    <t>AM Peak Hour Trip Rate</t>
  </si>
  <si>
    <t>PM</t>
  </si>
  <si>
    <t>AM</t>
  </si>
  <si>
    <t>If actual is negative, then use:</t>
  </si>
  <si>
    <t>Average Cost per Vehicle Mile for Arterial Facilities 
(for use in impact of demand calculations)</t>
  </si>
  <si>
    <t>T = 2.01(X) - 7.55</t>
  </si>
  <si>
    <t>Drive-In Lanes</t>
  </si>
  <si>
    <t>Lookup Field</t>
  </si>
  <si>
    <t>Actual Results for Trip Rate</t>
  </si>
  <si>
    <t>Check for negative values</t>
  </si>
  <si>
    <t>Check if a regression equation exists</t>
  </si>
  <si>
    <t>Check if we're using AM or PM</t>
  </si>
  <si>
    <t>T = 1.43(X) - 157.36</t>
  </si>
  <si>
    <t>Ln(T) = 0.55 Ln(X) +1.88</t>
  </si>
  <si>
    <t>Ln(T) = 0.64 Ln(X) + 1.14</t>
  </si>
  <si>
    <t>T = 0.70(X) +9.74</t>
  </si>
  <si>
    <t>Ln(T) = 0.90 Ln(X) + .51</t>
  </si>
  <si>
    <t>Ln(T) = 0.92 Ln(X) - 0.46</t>
  </si>
  <si>
    <t>T = 0.94(X) - 0.51</t>
  </si>
  <si>
    <t>T = 0.34(X) + 5.24</t>
  </si>
  <si>
    <t>n.a</t>
  </si>
  <si>
    <t>Ln(T) = 1.37 Ln(X) +124.36</t>
  </si>
  <si>
    <t>T = 1.22(X) + 95.83</t>
  </si>
  <si>
    <t>T = 10.27(X) + 13.89</t>
  </si>
  <si>
    <t>City of Austin</t>
  </si>
  <si>
    <t>Project No:</t>
  </si>
  <si>
    <t>Example 1</t>
  </si>
  <si>
    <t>Residential Collector</t>
  </si>
  <si>
    <t>Service Area:</t>
  </si>
  <si>
    <t>Exist. Classification:</t>
  </si>
  <si>
    <t>none</t>
  </si>
  <si>
    <t>Prop. Classification:</t>
  </si>
  <si>
    <t>Res Collector</t>
  </si>
  <si>
    <t>Length (FT):</t>
  </si>
  <si>
    <t>Width (FT):</t>
  </si>
  <si>
    <t>Roadbeds (divided #):</t>
  </si>
  <si>
    <t>Area (SY):</t>
  </si>
  <si>
    <t>Curb Basis (FT):</t>
  </si>
  <si>
    <t>Width of Median (FT):</t>
  </si>
  <si>
    <t>Addtl.Pavement Area (%):</t>
  </si>
  <si>
    <t>Addtl.Pavement Area (SY):</t>
  </si>
  <si>
    <t>Sidewalk Width (FT):</t>
  </si>
  <si>
    <t>Sidewalks (#):</t>
  </si>
  <si>
    <t>Item</t>
  </si>
  <si>
    <t>Description</t>
  </si>
  <si>
    <t>Depth in Inches</t>
  </si>
  <si>
    <t>Unit Cost</t>
  </si>
  <si>
    <t>Extended Cost</t>
  </si>
  <si>
    <t>Street Excavation</t>
  </si>
  <si>
    <t>CY</t>
  </si>
  <si>
    <t>Earthwork/TopSoil</t>
  </si>
  <si>
    <t>Subgrade Stabilization</t>
  </si>
  <si>
    <t>Concrete C&amp;G</t>
  </si>
  <si>
    <t>LF</t>
  </si>
  <si>
    <t>Concrete Sidewalks</t>
  </si>
  <si>
    <t>SF</t>
  </si>
  <si>
    <t>Concrete Pavement</t>
  </si>
  <si>
    <t>HMAC Surface Courses</t>
  </si>
  <si>
    <t>Ton</t>
  </si>
  <si>
    <t>Flexible Roadway Base</t>
  </si>
  <si>
    <t>Street Construction Cost Subtotal:</t>
  </si>
  <si>
    <t>Major ROW Construction Component Allowances</t>
  </si>
  <si>
    <t>Drainage</t>
  </si>
  <si>
    <t>Full Stormsewer System</t>
  </si>
  <si>
    <t>ADA Ramps &amp; Requirements</t>
  </si>
  <si>
    <t>Bike Lane Requirements</t>
  </si>
  <si>
    <t>Street Lighting</t>
  </si>
  <si>
    <t>Landscaping (grass, trees, E/S controls)</t>
  </si>
  <si>
    <t>Construction Allowances Subtotal:</t>
  </si>
  <si>
    <t>Street &amp; ROW Construction Allowances Subtotal:</t>
  </si>
  <si>
    <t>Capital Improvement Project (CIP) Allowances</t>
  </si>
  <si>
    <t>Engineering / Surveying / Geotechnical</t>
  </si>
  <si>
    <t>(17%+4%+4%)</t>
  </si>
  <si>
    <t>Construction Inspection / Testing</t>
  </si>
  <si>
    <t>(10%+2%)</t>
  </si>
  <si>
    <t>Project Management / Contract Management</t>
  </si>
  <si>
    <t>(4%+1%)</t>
  </si>
  <si>
    <t>Contingency</t>
  </si>
  <si>
    <t>ROW / Easement Acquisition</t>
  </si>
  <si>
    <t>CIP Allowances Subtotal:</t>
  </si>
  <si>
    <t>Roadway Construction Items</t>
  </si>
  <si>
    <t>ROW Construction Items</t>
  </si>
  <si>
    <t>Capital Improvement Costs</t>
  </si>
  <si>
    <t>Grand Total:</t>
  </si>
  <si>
    <t>Neighborhood Collector</t>
  </si>
  <si>
    <t>Neigh Collector</t>
  </si>
  <si>
    <t>Commercial Collector</t>
  </si>
  <si>
    <t>Comm Collector</t>
  </si>
  <si>
    <t>Industrial Collector</t>
  </si>
  <si>
    <t>Industr Collector</t>
  </si>
  <si>
    <t>Primary Collector Undivided 4-Lane</t>
  </si>
  <si>
    <t>Prim Col Undiv 4</t>
  </si>
  <si>
    <t>Primary Collector Undivided 5-Lane</t>
  </si>
  <si>
    <t>Prim Col Undiv 5</t>
  </si>
  <si>
    <t>Primary Collector Divided 4-Lane</t>
  </si>
  <si>
    <t>Primary Col Div 4</t>
  </si>
  <si>
    <t>Primary Col Div 6</t>
  </si>
  <si>
    <t>Minor Arterial Undivided 4-Lane</t>
  </si>
  <si>
    <t>Minor Art Undiv 4</t>
  </si>
  <si>
    <t>Minor Arterial Undivided 5-Lane</t>
  </si>
  <si>
    <t>Minor Arterial Divided 4-Lane</t>
  </si>
  <si>
    <t>Minor Art Div 4</t>
  </si>
  <si>
    <t>Major Arterial Undivided 4-Lane</t>
  </si>
  <si>
    <t>Major Art Undiv 4</t>
  </si>
  <si>
    <t>Major Arterial Divided 6-Lane</t>
  </si>
  <si>
    <t>Major Art Div 6</t>
  </si>
  <si>
    <t>Transportation Rough Proportionality Estimating Tool for Roadway &amp; Right of Way Costs</t>
  </si>
  <si>
    <t>Pay Item</t>
  </si>
  <si>
    <t>lf</t>
  </si>
  <si>
    <t>sf</t>
  </si>
  <si>
    <t>ton</t>
  </si>
  <si>
    <t>Primary Collector Divided 6-Lane</t>
  </si>
  <si>
    <t>Major Arterial Divided 8-Lane</t>
  </si>
  <si>
    <t>Roadway Construction Cost Projection Worksheet Pay Items Lookup</t>
  </si>
  <si>
    <t>Major ROW Construction Component Allowances Lookup</t>
  </si>
  <si>
    <t>Percentage</t>
  </si>
  <si>
    <t>City of Austin / Travis County, Texas</t>
  </si>
  <si>
    <t>Number of Thru Lanes:</t>
  </si>
  <si>
    <r>
      <t>Estimated Cost</t>
    </r>
    <r>
      <rPr>
        <b/>
        <vertAlign val="superscript"/>
        <sz val="9"/>
        <rFont val="Arial"/>
        <family val="2"/>
      </rPr>
      <t>11</t>
    </r>
    <r>
      <rPr>
        <b/>
        <sz val="9"/>
        <rFont val="Arial"/>
        <family val="2"/>
      </rPr>
      <t xml:space="preserve">: </t>
    </r>
    <r>
      <rPr>
        <sz val="9"/>
        <rFont val="Arial"/>
        <family val="2"/>
      </rPr>
      <t>($)</t>
    </r>
  </si>
  <si>
    <t>Senior Adult Housing-Detached</t>
  </si>
  <si>
    <t>251</t>
  </si>
  <si>
    <t>Senior Adult Housing-Attached</t>
  </si>
  <si>
    <t>252</t>
  </si>
  <si>
    <t>Golf Driving Range</t>
  </si>
  <si>
    <t>Recreational Community Center</t>
  </si>
  <si>
    <t>Ice Skating Rink</t>
  </si>
  <si>
    <t>Miniature Golf Course</t>
  </si>
  <si>
    <t>Animal Hospital/Veterinary Clinic</t>
  </si>
  <si>
    <t>640</t>
  </si>
  <si>
    <t>Quality Restaurant</t>
  </si>
  <si>
    <t>937</t>
  </si>
  <si>
    <t>880</t>
  </si>
  <si>
    <t>875</t>
  </si>
  <si>
    <t>Free-Standing Discount Store</t>
  </si>
  <si>
    <t>Pharmacy/Drugstore w/o Drive-Thru</t>
  </si>
  <si>
    <t>Pharmacy/Drugstore w Drive-Thru</t>
  </si>
  <si>
    <t>Department Store</t>
  </si>
  <si>
    <t>Hair Salon</t>
  </si>
  <si>
    <t>918</t>
  </si>
  <si>
    <t>1,000 SF GLA</t>
  </si>
  <si>
    <t>T = 0.17(X) + 29.95</t>
  </si>
  <si>
    <t>Ln(T) = 0.75 Ln(X) +0.35</t>
  </si>
  <si>
    <t>Coffee/Donut Shop with Drive-Thru Window</t>
  </si>
  <si>
    <t>Trip Rate</t>
  </si>
  <si>
    <t>Minimum Trip Length</t>
  </si>
  <si>
    <t>Maximum Trip Length</t>
  </si>
  <si>
    <t>% of Roadway Network for Each Facility Type</t>
  </si>
  <si>
    <t xml:space="preserve">Trip Length </t>
  </si>
  <si>
    <t>* Model Trip Length Source: a = 2005 Austin Activity Travel Survey; b = 2009 National Household Travel Survey; c = Kimley-Horn estimated values based on 2005 Austin Activity_Travel Survey, the 2009 NHTS, and similar Texas metropolitan area data.</t>
  </si>
  <si>
    <t>These rows allow for the entry of unique or uncommon land uses not included within the current ITE Trip Generation Manual; or when circumstances require manual entry of the development unit and/or trip rate.  It shall only be used when (a) sufficient data is available to support an alternative calculation; and (b) it is agreed to by the City and/or County.</t>
  </si>
  <si>
    <t>One Mile Sample</t>
  </si>
  <si>
    <t>Austin / Travis County Proportionality Worksheet - Summary of Costs</t>
  </si>
  <si>
    <t>Austin / Travis County Proportionality Worksheet - Land Use Chart</t>
  </si>
  <si>
    <t>Ln(T) = 0.79 Ln(X) + 0.91</t>
  </si>
  <si>
    <t>T = 0.78(X) + 30.48</t>
  </si>
  <si>
    <t>T = 0.20(X) - 0.13</t>
  </si>
  <si>
    <t>Ln(T) = 0.70 Ln(X) + 0.74</t>
  </si>
  <si>
    <t>Ln(T) = 0.64 Ln(X) + 1.32</t>
  </si>
  <si>
    <t>Ln(T) = 0.88 Ln(X) - 0.68</t>
  </si>
  <si>
    <t>Ln(T) = 0.73 Ln(X) + 0.84</t>
  </si>
  <si>
    <t>Ln(T) = 0.96 Ln(X) + 0.60</t>
  </si>
  <si>
    <t>Ln(T) = 0.88 Ln(X) + 0.98</t>
  </si>
  <si>
    <t>Ln(T) = 0.80 Ln(X) + 1.57</t>
  </si>
  <si>
    <t>T = 1.12(X) + 78.45</t>
  </si>
  <si>
    <t>Ln(T) = 0.90 Ln(X) + 1.53</t>
  </si>
  <si>
    <t>T = 1.67(X) + 21.93</t>
  </si>
  <si>
    <t>T = 1.52(X) + 34.60</t>
  </si>
  <si>
    <t>T = 2.41(X) + 11.79</t>
  </si>
  <si>
    <t>T = 1.91(X) + 23.74</t>
  </si>
  <si>
    <t>T = 10.22(X) -75.80</t>
  </si>
  <si>
    <t>Ln(T) = 0.61 Ln(X) + 2.24</t>
  </si>
  <si>
    <t>Ln(T) = 0.67 Ln(X) + 3.31</t>
  </si>
  <si>
    <t>Ln(T) = 0.74 Ln(X) + 3.25</t>
  </si>
  <si>
    <t>T = 0.24(X) + 1.64</t>
  </si>
  <si>
    <t>Major Arterial Divided 4-Lane</t>
  </si>
  <si>
    <t>Major Art Div 4</t>
  </si>
  <si>
    <t>Minor Arterial Divided 4-lane</t>
  </si>
  <si>
    <t>Location:</t>
  </si>
  <si>
    <r>
      <t xml:space="preserve">Other Improvements </t>
    </r>
    <r>
      <rPr>
        <b/>
        <sz val="12"/>
        <rFont val="Arial"/>
        <family val="2"/>
      </rPr>
      <t>- Specific Improvements to be Built or Funded by the Applicant:</t>
    </r>
  </si>
  <si>
    <t>OTHER IMPROVEMENTS ADDED TO SYSTEM SUBTOTAL:</t>
  </si>
  <si>
    <r>
      <t>Adjusted Trip Length</t>
    </r>
    <r>
      <rPr>
        <b/>
        <vertAlign val="superscript"/>
        <sz val="9"/>
        <rFont val="Arial"/>
        <family val="2"/>
      </rPr>
      <t>5</t>
    </r>
    <r>
      <rPr>
        <b/>
        <vertAlign val="superscript"/>
        <sz val="8"/>
        <rFont val="Arial"/>
        <family val="2"/>
      </rPr>
      <t xml:space="preserve"> </t>
    </r>
    <r>
      <rPr>
        <b/>
        <sz val="8"/>
        <rFont val="Arial"/>
        <family val="2"/>
      </rPr>
      <t xml:space="preserve">: 
</t>
    </r>
    <r>
      <rPr>
        <sz val="8"/>
        <rFont val="Arial"/>
        <family val="2"/>
      </rPr>
      <t>(miles)</t>
    </r>
  </si>
  <si>
    <r>
      <t>Trip Length</t>
    </r>
    <r>
      <rPr>
        <b/>
        <vertAlign val="superscript"/>
        <sz val="10"/>
        <rFont val="Arial"/>
        <family val="2"/>
      </rPr>
      <t>6</t>
    </r>
    <r>
      <rPr>
        <b/>
        <sz val="8"/>
        <rFont val="Arial"/>
        <family val="2"/>
      </rPr>
      <t xml:space="preserve">: 
</t>
    </r>
    <r>
      <rPr>
        <sz val="8"/>
        <rFont val="Arial"/>
        <family val="2"/>
      </rPr>
      <t>(miles)</t>
    </r>
  </si>
  <si>
    <r>
      <t>Impact of Development</t>
    </r>
    <r>
      <rPr>
        <b/>
        <vertAlign val="superscript"/>
        <sz val="10"/>
        <rFont val="Arial"/>
        <family val="2"/>
      </rPr>
      <t xml:space="preserve">7 </t>
    </r>
    <r>
      <rPr>
        <b/>
        <sz val="10"/>
        <rFont val="Arial"/>
        <family val="2"/>
      </rPr>
      <t>:</t>
    </r>
    <r>
      <rPr>
        <sz val="10"/>
        <rFont val="Arial"/>
        <family val="2"/>
      </rPr>
      <t xml:space="preserve"> ($)</t>
    </r>
  </si>
  <si>
    <r>
      <t>Estimated Average Cost Per Vehicle Mile</t>
    </r>
    <r>
      <rPr>
        <b/>
        <vertAlign val="superscript"/>
        <sz val="12"/>
        <rFont val="Arial"/>
        <family val="2"/>
      </rPr>
      <t xml:space="preserve">8 </t>
    </r>
    <r>
      <rPr>
        <b/>
        <sz val="12"/>
        <rFont val="Arial"/>
        <family val="2"/>
      </rPr>
      <t>:</t>
    </r>
  </si>
  <si>
    <r>
      <t>Notes:</t>
    </r>
    <r>
      <rPr>
        <sz val="8"/>
        <rFont val="Arial"/>
        <family val="2"/>
      </rPr>
      <t xml:space="preserve"> </t>
    </r>
    <r>
      <rPr>
        <b/>
        <vertAlign val="superscript"/>
        <sz val="8"/>
        <rFont val="Arial"/>
        <family val="2"/>
      </rPr>
      <t>1</t>
    </r>
    <r>
      <rPr>
        <sz val="8"/>
        <rFont val="Arial"/>
        <family val="2"/>
      </rPr>
      <t xml:space="preserve"> Per the </t>
    </r>
    <r>
      <rPr>
        <i/>
        <sz val="8"/>
        <rFont val="Arial"/>
        <family val="2"/>
      </rPr>
      <t>ITE Trip Generation Manual</t>
    </r>
    <r>
      <rPr>
        <sz val="8"/>
        <rFont val="Arial"/>
        <family val="2"/>
      </rPr>
      <t xml:space="preserve">; </t>
    </r>
    <r>
      <rPr>
        <b/>
        <vertAlign val="superscript"/>
        <sz val="8"/>
        <rFont val="Arial"/>
        <family val="2"/>
      </rPr>
      <t>2</t>
    </r>
    <r>
      <rPr>
        <vertAlign val="superscript"/>
        <sz val="8"/>
        <rFont val="Arial"/>
        <family val="2"/>
      </rPr>
      <t xml:space="preserve"> </t>
    </r>
    <r>
      <rPr>
        <sz val="8"/>
        <rFont val="Arial"/>
        <family val="2"/>
      </rPr>
      <t>Intensity is the amount of the development unit that is proposed;</t>
    </r>
    <r>
      <rPr>
        <b/>
        <vertAlign val="superscript"/>
        <sz val="8"/>
        <rFont val="Arial"/>
        <family val="2"/>
      </rPr>
      <t xml:space="preserve"> 3</t>
    </r>
    <r>
      <rPr>
        <sz val="8"/>
        <rFont val="Arial"/>
        <family val="2"/>
      </rPr>
      <t xml:space="preserve"> Trip Rate is the trip generation rate with a reduction for pass-by's per the </t>
    </r>
    <r>
      <rPr>
        <i/>
        <sz val="8"/>
        <rFont val="Arial"/>
        <family val="2"/>
      </rPr>
      <t>ITE Trip Generation Handbook.</t>
    </r>
    <r>
      <rPr>
        <sz val="8"/>
        <rFont val="Arial"/>
        <family val="2"/>
      </rPr>
      <t xml:space="preserve"> When regression equations are used, the rate is derived from the equation at the given intensity.  When this results in a negative value, the rate defers back to the linear method and the cell is shaded blue.  For uses without a regression equation, the rate defers back to the linear method and the cell is shaded gray.  ITE does not have data available for all land uses during the AM Peak; when data is unavailable the PM Peak Period may be used. </t>
    </r>
    <r>
      <rPr>
        <b/>
        <vertAlign val="superscript"/>
        <sz val="8"/>
        <rFont val="Arial"/>
        <family val="2"/>
      </rPr>
      <t>4</t>
    </r>
    <r>
      <rPr>
        <sz val="8"/>
        <rFont val="Arial"/>
        <family val="2"/>
      </rPr>
      <t xml:space="preserve"> Internal Capture should only be used when supported by a traffic study; </t>
    </r>
    <r>
      <rPr>
        <b/>
        <vertAlign val="superscript"/>
        <sz val="8"/>
        <rFont val="Arial"/>
        <family val="2"/>
      </rPr>
      <t>5</t>
    </r>
    <r>
      <rPr>
        <sz val="8"/>
        <rFont val="Arial"/>
        <family val="2"/>
      </rPr>
      <t xml:space="preserve"> A default, or adjusted, trip length of 1.5 miles is applied to all land use types; </t>
    </r>
    <r>
      <rPr>
        <b/>
        <vertAlign val="superscript"/>
        <sz val="8"/>
        <rFont val="Arial"/>
        <family val="2"/>
      </rPr>
      <t>6</t>
    </r>
    <r>
      <rPr>
        <sz val="8"/>
        <rFont val="Arial"/>
        <family val="2"/>
      </rPr>
      <t xml:space="preserve"> Trip Length is the distance traveled by trips generated per land use type by the proposed development along the roadway network and within the City’s full purpose jurisdiction         </t>
    </r>
    <r>
      <rPr>
        <vertAlign val="superscript"/>
        <sz val="8"/>
        <rFont val="Arial"/>
        <family val="2"/>
      </rPr>
      <t>7</t>
    </r>
    <r>
      <rPr>
        <sz val="8"/>
        <rFont val="Arial"/>
        <family val="2"/>
      </rPr>
      <t xml:space="preserve"> Based on the average cost to provide a typical vehicle mile of roadway in Austin, including costs for construction, engineering and administration, and right-of-way.  </t>
    </r>
    <r>
      <rPr>
        <vertAlign val="superscript"/>
        <sz val="8"/>
        <rFont val="Arial"/>
        <family val="2"/>
      </rPr>
      <t>8</t>
    </r>
    <r>
      <rPr>
        <sz val="8"/>
        <rFont val="Arial"/>
        <family val="2"/>
      </rPr>
      <t xml:space="preserve">  Estimated average cost per vehicle mile is calculated for each roadway classification and referenced from the Summary of Roadway Costs.</t>
    </r>
  </si>
  <si>
    <r>
      <t>Supply Cost Estimate</t>
    </r>
    <r>
      <rPr>
        <b/>
        <vertAlign val="superscript"/>
        <sz val="9"/>
        <rFont val="Arial"/>
        <family val="2"/>
      </rPr>
      <t xml:space="preserve">9 </t>
    </r>
    <r>
      <rPr>
        <b/>
        <sz val="9"/>
        <rFont val="Arial"/>
        <family val="2"/>
      </rPr>
      <t>:</t>
    </r>
    <r>
      <rPr>
        <b/>
        <vertAlign val="superscript"/>
        <sz val="9"/>
        <rFont val="Arial"/>
        <family val="2"/>
      </rPr>
      <t xml:space="preserve"> </t>
    </r>
    <r>
      <rPr>
        <sz val="9"/>
        <rFont val="Arial"/>
        <family val="2"/>
      </rPr>
      <t>($)</t>
    </r>
  </si>
  <si>
    <r>
      <t>Estimated Cost</t>
    </r>
    <r>
      <rPr>
        <b/>
        <vertAlign val="superscript"/>
        <sz val="9"/>
        <rFont val="Arial"/>
        <family val="2"/>
      </rPr>
      <t>12</t>
    </r>
    <r>
      <rPr>
        <b/>
        <sz val="9"/>
        <rFont val="Arial"/>
        <family val="2"/>
      </rPr>
      <t xml:space="preserve">: </t>
    </r>
    <r>
      <rPr>
        <sz val="9"/>
        <rFont val="Arial"/>
        <family val="2"/>
      </rPr>
      <t>($)</t>
    </r>
  </si>
  <si>
    <r>
      <t>Supply Cost Estimate OR Detailed OPCC</t>
    </r>
    <r>
      <rPr>
        <b/>
        <vertAlign val="superscript"/>
        <sz val="9"/>
        <rFont val="Arial"/>
        <family val="2"/>
      </rPr>
      <t xml:space="preserve">10 </t>
    </r>
    <r>
      <rPr>
        <b/>
        <sz val="9"/>
        <rFont val="Arial"/>
        <family val="2"/>
      </rPr>
      <t xml:space="preserve">: </t>
    </r>
    <r>
      <rPr>
        <sz val="9"/>
        <rFont val="Arial"/>
        <family val="2"/>
      </rPr>
      <t>($)</t>
    </r>
  </si>
  <si>
    <r>
      <t>Notes:</t>
    </r>
    <r>
      <rPr>
        <sz val="8"/>
        <rFont val="Arial"/>
        <family val="2"/>
      </rPr>
      <t xml:space="preserve"> </t>
    </r>
    <r>
      <rPr>
        <vertAlign val="superscript"/>
        <sz val="8"/>
        <rFont val="Arial"/>
        <family val="2"/>
      </rPr>
      <t>9</t>
    </r>
    <r>
      <rPr>
        <sz val="8"/>
        <rFont val="Arial"/>
        <family val="2"/>
      </rPr>
      <t xml:space="preserve"> Based on an estimated cost to provide the roadway supply (construction and engineering) based on the classification; </t>
    </r>
    <r>
      <rPr>
        <vertAlign val="superscript"/>
        <sz val="8"/>
        <rFont val="Arial"/>
        <family val="2"/>
      </rPr>
      <t>10</t>
    </r>
    <r>
      <rPr>
        <sz val="8"/>
        <rFont val="Arial"/>
        <family val="2"/>
      </rPr>
      <t xml:space="preserve"> Revised cost estimate, if available, for construction and engineering based on more detailed preliminary engineering and/or design; </t>
    </r>
    <r>
      <rPr>
        <vertAlign val="superscript"/>
        <sz val="8"/>
        <rFont val="Arial"/>
        <family val="2"/>
      </rPr>
      <t>11</t>
    </r>
    <r>
      <rPr>
        <sz val="8"/>
        <rFont val="Arial"/>
        <family val="2"/>
      </rPr>
      <t xml:space="preserve"> All estimated improvement costs; </t>
    </r>
    <r>
      <rPr>
        <vertAlign val="superscript"/>
        <sz val="8"/>
        <rFont val="Arial"/>
        <family val="2"/>
      </rPr>
      <t xml:space="preserve">12 </t>
    </r>
    <r>
      <rPr>
        <sz val="8"/>
        <rFont val="Arial"/>
        <family val="2"/>
      </rPr>
      <t>Cost of right-of-way should be estimated using County Appraisal District values (number of square feet of dedication multipled by the County Appraisal District Market Values).</t>
    </r>
  </si>
  <si>
    <t>Project Cost Summary</t>
  </si>
  <si>
    <r>
      <t>Peak 
Hour Trips</t>
    </r>
    <r>
      <rPr>
        <b/>
        <sz val="9"/>
        <rFont val="Arial"/>
        <family val="2"/>
      </rPr>
      <t>:</t>
    </r>
  </si>
  <si>
    <t>Worksheet Last Updated: 7/31/2015</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</si>
</sst>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m\ d\,\ yyyy;@"/>
    <numFmt numFmtId="165" formatCode="0.0000000000"/>
    <numFmt numFmtId="166" formatCode="&quot;$&quot;#,##0.00"/>
    <numFmt numFmtId="167" formatCode="&quot;$&quot;#,##0"/>
  </numFmts>
  <fonts count="78">
    <font>
      <sz val="10"/>
      <name val="Arial"/>
      <family val="0"/>
    </font>
    <font>
      <sz val="11"/>
      <color indexed="8"/>
      <name val="Calibri"/>
      <family val="2"/>
    </font>
    <font>
      <sz val="8"/>
      <name val="Arial"/>
      <family val="2"/>
    </font>
    <font>
      <b/>
      <sz val="20"/>
      <name val="Arial"/>
      <family val="2"/>
    </font>
    <font>
      <sz val="20"/>
      <name val="Arial"/>
      <family val="2"/>
    </font>
    <font>
      <b/>
      <sz val="14"/>
      <name val="Arial"/>
      <family val="2"/>
    </font>
    <font>
      <b/>
      <sz val="16"/>
      <name val="Arial"/>
      <family val="2"/>
    </font>
    <font>
      <b/>
      <sz val="12"/>
      <name val="Arial"/>
      <family val="2"/>
    </font>
    <font>
      <b/>
      <sz val="10"/>
      <name val="Arial"/>
      <family val="2"/>
    </font>
    <font>
      <i/>
      <sz val="7"/>
      <name val="Arial"/>
      <family val="2"/>
    </font>
    <font>
      <b/>
      <sz val="8"/>
      <name val="Arial"/>
      <family val="2"/>
    </font>
    <font>
      <b/>
      <i/>
      <sz val="9"/>
      <name val="Arial"/>
      <family val="2"/>
    </font>
    <font>
      <b/>
      <i/>
      <sz val="12"/>
      <name val="Arial"/>
      <family val="2"/>
    </font>
    <font>
      <b/>
      <vertAlign val="superscript"/>
      <sz val="10"/>
      <name val="Arial"/>
      <family val="2"/>
    </font>
    <font>
      <b/>
      <sz val="9"/>
      <name val="Arial"/>
      <family val="2"/>
    </font>
    <font>
      <b/>
      <vertAlign val="superscript"/>
      <sz val="9"/>
      <name val="Arial"/>
      <family val="2"/>
    </font>
    <font>
      <sz val="9"/>
      <name val="Arial"/>
      <family val="2"/>
    </font>
    <font>
      <vertAlign val="superscript"/>
      <sz val="8"/>
      <name val="Arial"/>
      <family val="2"/>
    </font>
    <font>
      <i/>
      <sz val="9"/>
      <name val="Arial"/>
      <family val="2"/>
    </font>
    <font>
      <sz val="14"/>
      <name val="Arial"/>
      <family val="2"/>
    </font>
    <font>
      <sz val="12"/>
      <name val="Arial"/>
      <family val="2"/>
    </font>
    <font>
      <sz val="10"/>
      <color indexed="9"/>
      <name val="Arial"/>
      <family val="2"/>
    </font>
    <font>
      <sz val="10"/>
      <name val="MS Sans Serif"/>
      <family val="2"/>
    </font>
    <font>
      <b/>
      <sz val="12"/>
      <color indexed="9"/>
      <name val="Arial"/>
      <family val="2"/>
    </font>
    <font>
      <sz val="10"/>
      <color indexed="10"/>
      <name val="Arial"/>
      <family val="2"/>
    </font>
    <font>
      <i/>
      <sz val="10"/>
      <name val="Arial"/>
      <family val="2"/>
    </font>
    <font>
      <b/>
      <sz val="8"/>
      <color indexed="9"/>
      <name val="Arial"/>
      <family val="2"/>
    </font>
    <font>
      <b/>
      <sz val="10"/>
      <color indexed="9"/>
      <name val="Arial"/>
      <family val="2"/>
    </font>
    <font>
      <b/>
      <i/>
      <sz val="9"/>
      <color indexed="10"/>
      <name val="Arial"/>
      <family val="2"/>
    </font>
    <font>
      <vertAlign val="superscript"/>
      <sz val="10"/>
      <name val="Arial"/>
      <family val="2"/>
    </font>
    <font>
      <b/>
      <vertAlign val="superscript"/>
      <sz val="8"/>
      <name val="Arial"/>
      <family val="2"/>
    </font>
    <font>
      <i/>
      <sz val="8"/>
      <name val="Arial"/>
      <family val="2"/>
    </font>
    <font>
      <b/>
      <vertAlign val="superscript"/>
      <sz val="12"/>
      <name val="Arial"/>
      <family val="2"/>
    </font>
    <font>
      <sz val="7"/>
      <name val="Arial"/>
      <family val="2"/>
    </font>
    <font>
      <sz val="7"/>
      <color indexed="10"/>
      <name val="Arial"/>
      <family val="2"/>
    </font>
    <font>
      <b/>
      <i/>
      <sz val="11"/>
      <name val="Arial"/>
      <family val="2"/>
    </font>
    <font>
      <b/>
      <sz val="10"/>
      <color indexed="12"/>
      <name val="Arial"/>
      <family val="2"/>
    </font>
    <font>
      <sz val="10"/>
      <color indexed="23"/>
      <name val="Arial"/>
      <family val="2"/>
    </font>
    <font>
      <b/>
      <i/>
      <sz val="8"/>
      <name val="Arial"/>
      <family val="2"/>
    </font>
    <font>
      <b/>
      <i/>
      <sz val="8"/>
      <color indexed="23"/>
      <name val="Arial"/>
      <family val="2"/>
    </font>
    <font>
      <b/>
      <sz val="10"/>
      <color indexed="23"/>
      <name val="Arial"/>
      <family val="2"/>
    </font>
    <font>
      <sz val="11"/>
      <name val="Arial"/>
      <family val="2"/>
    </font>
    <font>
      <sz val="8"/>
      <color indexed="23"/>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0" tint="-0.4999699890613556"/>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22"/>
        <bgColor indexed="64"/>
      </patternFill>
    </fill>
    <fill>
      <patternFill patternType="solid">
        <fgColor rgb="FFFFCC99"/>
        <bgColor indexed="64"/>
      </patternFill>
    </fill>
    <fill>
      <patternFill patternType="solid">
        <fgColor indexed="26"/>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13"/>
        <bgColor indexed="64"/>
      </patternFill>
    </fill>
    <fill>
      <patternFill patternType="solid">
        <fgColor indexed="9"/>
        <bgColor indexed="64"/>
      </patternFill>
    </fill>
    <fill>
      <patternFill patternType="solid">
        <fgColor indexed="55"/>
        <bgColor indexed="64"/>
      </patternFill>
    </fill>
    <fill>
      <patternFill patternType="solid">
        <fgColor indexed="43"/>
        <bgColor indexed="64"/>
      </patternFill>
    </fill>
  </fills>
  <borders count="10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style="medium"/>
      <bottom style="medium"/>
    </border>
    <border>
      <left/>
      <right/>
      <top style="thin"/>
      <bottom style="thin"/>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right style="thin"/>
      <top style="thin"/>
      <bottom style="thin"/>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ck"/>
      <top style="thick"/>
      <bottom style="thick"/>
    </border>
    <border>
      <left style="thick"/>
      <right style="thin"/>
      <top/>
      <bottom style="hair"/>
    </border>
    <border>
      <left style="thin"/>
      <right style="thick"/>
      <top/>
      <bottom style="hair"/>
    </border>
    <border>
      <left style="thin"/>
      <right style="thick"/>
      <top style="hair"/>
      <bottom style="medium"/>
    </border>
    <border>
      <left style="thin"/>
      <right style="thick"/>
      <top style="hair"/>
      <bottom style="hair"/>
    </border>
    <border>
      <left style="thin"/>
      <right style="thick"/>
      <top style="medium"/>
      <bottom style="hair"/>
    </border>
    <border>
      <left style="thin"/>
      <right style="thick"/>
      <top style="hair"/>
      <bottom style="thick"/>
    </border>
    <border>
      <left style="medium"/>
      <right style="medium"/>
      <top/>
      <bottom style="medium"/>
    </border>
    <border>
      <left style="thin"/>
      <right/>
      <top/>
      <bottom style="medium"/>
    </border>
    <border>
      <left style="thick"/>
      <right style="thin"/>
      <top style="thick"/>
      <bottom style="thick"/>
    </border>
    <border>
      <left style="thick"/>
      <right/>
      <top/>
      <bottom style="hair"/>
    </border>
    <border>
      <left style="thick"/>
      <right/>
      <top style="hair"/>
      <bottom style="hair"/>
    </border>
    <border>
      <left style="thick"/>
      <right/>
      <top style="medium"/>
      <bottom style="hair"/>
    </border>
    <border>
      <left style="thick"/>
      <right/>
      <top style="hair"/>
      <bottom style="medium"/>
    </border>
    <border>
      <left style="thick"/>
      <right style="thin"/>
      <top/>
      <bottom/>
    </border>
    <border>
      <left style="thin"/>
      <right style="thick"/>
      <top/>
      <bottom/>
    </border>
    <border>
      <left style="thick"/>
      <right style="thin"/>
      <top style="hair"/>
      <bottom style="thick"/>
    </border>
    <border>
      <left style="thin"/>
      <right/>
      <top style="thick"/>
      <bottom style="thick"/>
    </border>
    <border>
      <left style="thin"/>
      <right style="thin"/>
      <top style="hair"/>
      <bottom style="medium"/>
    </border>
    <border>
      <left style="medium"/>
      <right style="medium"/>
      <top/>
      <bottom/>
    </border>
    <border>
      <left style="medium"/>
      <right style="medium"/>
      <top style="medium"/>
      <bottom/>
    </border>
    <border>
      <left style="thin"/>
      <right style="medium"/>
      <top style="thin"/>
      <bottom style="thin"/>
    </border>
    <border>
      <left style="thin"/>
      <right/>
      <top style="thin"/>
      <bottom style="thin"/>
    </border>
    <border>
      <left style="medium"/>
      <right style="thin"/>
      <top style="thin"/>
      <bottom style="thin"/>
    </border>
    <border>
      <left style="thin"/>
      <right style="medium"/>
      <top style="medium"/>
      <bottom style="hair"/>
    </border>
    <border>
      <left style="thin"/>
      <right style="medium"/>
      <top style="hair"/>
      <bottom style="hair"/>
    </border>
    <border>
      <left style="thin"/>
      <right style="medium"/>
      <top/>
      <bottom style="hair"/>
    </border>
    <border>
      <left style="thin"/>
      <right style="medium"/>
      <top style="hair"/>
      <bottom style="medium"/>
    </border>
    <border>
      <left style="thin"/>
      <right style="thin"/>
      <top/>
      <bottom style="hair"/>
    </border>
    <border>
      <left style="thin"/>
      <right style="thin"/>
      <top style="medium"/>
      <bottom style="hair"/>
    </border>
    <border>
      <left style="thin"/>
      <right style="thin"/>
      <top style="hair"/>
      <bottom style="hair"/>
    </border>
    <border>
      <left style="thin"/>
      <right style="thin"/>
      <top style="hair"/>
      <bottom style="thick"/>
    </border>
    <border>
      <left/>
      <right/>
      <top/>
      <bottom style="thin"/>
    </border>
    <border>
      <left/>
      <right/>
      <top/>
      <bottom style="medium"/>
    </border>
    <border>
      <left style="medium"/>
      <right/>
      <top/>
      <bottom/>
    </border>
    <border>
      <left style="medium"/>
      <right style="medium"/>
      <top style="medium"/>
      <bottom style="hair"/>
    </border>
    <border>
      <left style="medium"/>
      <right style="medium"/>
      <top style="hair"/>
      <bottom style="hair"/>
    </border>
    <border>
      <left style="medium"/>
      <right style="medium"/>
      <top style="hair"/>
      <bottom style="medium"/>
    </border>
    <border>
      <left style="medium"/>
      <right/>
      <top style="medium"/>
      <bottom style="hair"/>
    </border>
    <border>
      <left style="medium"/>
      <right/>
      <top style="hair"/>
      <bottom style="hair"/>
    </border>
    <border>
      <left style="medium"/>
      <right/>
      <top style="hair"/>
      <bottom style="medium"/>
    </border>
    <border>
      <left style="medium"/>
      <right style="medium"/>
      <top/>
      <bottom style="hair"/>
    </border>
    <border>
      <left style="medium"/>
      <right/>
      <top/>
      <bottom style="hair"/>
    </border>
    <border>
      <left style="medium"/>
      <right/>
      <top style="medium"/>
      <bottom/>
    </border>
    <border>
      <left/>
      <right/>
      <top style="medium"/>
      <bottom/>
    </border>
    <border>
      <left style="thick"/>
      <right/>
      <top style="hair"/>
      <bottom/>
    </border>
    <border>
      <left style="thin"/>
      <right style="thin"/>
      <top style="hair"/>
      <bottom/>
    </border>
    <border>
      <left style="thin"/>
      <right style="thick"/>
      <top style="hair"/>
      <bottom/>
    </border>
    <border>
      <left style="thick"/>
      <right/>
      <top/>
      <bottom/>
    </border>
    <border>
      <left style="thin"/>
      <right style="thin"/>
      <top/>
      <bottom/>
    </border>
    <border>
      <left style="thick"/>
      <right/>
      <top/>
      <bottom style="medium"/>
    </border>
    <border>
      <left style="thin"/>
      <right style="thin"/>
      <top/>
      <bottom style="medium"/>
    </border>
    <border>
      <left style="thin"/>
      <right style="thick"/>
      <top/>
      <bottom style="medium"/>
    </border>
    <border>
      <left/>
      <right style="medium"/>
      <top style="thin"/>
      <bottom style="thin"/>
    </border>
    <border>
      <left style="medium"/>
      <right style="medium"/>
      <top style="thin"/>
      <bottom style="thin"/>
    </border>
    <border>
      <left style="thin"/>
      <right/>
      <top/>
      <bottom style="hair"/>
    </border>
    <border>
      <left style="thin"/>
      <right/>
      <top style="hair"/>
      <bottom style="medium"/>
    </border>
    <border>
      <left style="thin"/>
      <right/>
      <top style="hair"/>
      <bottom style="hair"/>
    </border>
    <border>
      <left style="thin"/>
      <right/>
      <top style="hair"/>
      <bottom/>
    </border>
    <border>
      <left style="thin"/>
      <right/>
      <top style="medium"/>
      <bottom style="hair"/>
    </border>
    <border>
      <left style="thin"/>
      <right/>
      <top/>
      <bottom/>
    </border>
    <border>
      <left style="thin"/>
      <right/>
      <top style="hair"/>
      <bottom style="thick"/>
    </border>
    <border>
      <left style="thin"/>
      <right style="thin"/>
      <top style="thick"/>
      <bottom style="thick"/>
    </border>
    <border>
      <left style="double"/>
      <right/>
      <top style="double"/>
      <bottom/>
    </border>
    <border>
      <left/>
      <right/>
      <top style="double"/>
      <bottom/>
    </border>
    <border>
      <left/>
      <right style="double"/>
      <top style="double"/>
      <bottom/>
    </border>
    <border>
      <left/>
      <right style="double"/>
      <top/>
      <bottom/>
    </border>
    <border>
      <left style="double"/>
      <right/>
      <top/>
      <bottom/>
    </border>
    <border>
      <left style="thin"/>
      <right/>
      <top style="thin"/>
      <bottom/>
    </border>
    <border>
      <left/>
      <right/>
      <top style="thin"/>
      <bottom/>
    </border>
    <border>
      <left/>
      <right style="thin"/>
      <top style="thin"/>
      <bottom/>
    </border>
    <border>
      <left/>
      <right style="thin"/>
      <top/>
      <bottom/>
    </border>
    <border>
      <left/>
      <right/>
      <top/>
      <bottom style="dotted"/>
    </border>
    <border>
      <left/>
      <right/>
      <top/>
      <bottom style="dashed"/>
    </border>
    <border>
      <left style="medium"/>
      <right style="medium"/>
      <top style="medium"/>
      <bottom style="medium"/>
    </border>
    <border>
      <left style="thin"/>
      <right/>
      <top/>
      <bottom style="thin"/>
    </border>
    <border>
      <left/>
      <right style="thin"/>
      <top/>
      <bottom style="thin"/>
    </border>
    <border>
      <left/>
      <right style="medium"/>
      <top style="medium"/>
      <bottom/>
    </border>
    <border>
      <left/>
      <right style="medium"/>
      <top/>
      <bottom/>
    </border>
    <border>
      <left style="medium"/>
      <right/>
      <top/>
      <bottom style="medium"/>
    </border>
    <border>
      <left/>
      <right style="medium"/>
      <top/>
      <bottom style="medium"/>
    </border>
    <border>
      <left style="double"/>
      <right/>
      <top/>
      <bottom style="double"/>
    </border>
    <border>
      <left/>
      <right/>
      <top/>
      <bottom style="double"/>
    </border>
    <border>
      <left/>
      <right style="double"/>
      <top/>
      <bottom style="double"/>
    </border>
    <border>
      <left/>
      <right style="thin"/>
      <top style="thin"/>
      <bottom style="thin"/>
    </border>
    <border>
      <left style="thick"/>
      <right/>
      <top style="thick"/>
      <bottom style="thick"/>
    </border>
    <border>
      <left/>
      <right/>
      <top style="thick"/>
      <bottom style="thick"/>
    </border>
    <border>
      <left/>
      <right style="thick"/>
      <top style="thick"/>
      <bottom style="thick"/>
    </border>
    <border>
      <left/>
      <right/>
      <top style="thick"/>
      <bottom/>
    </border>
    <border>
      <left style="medium"/>
      <right style="thin"/>
      <top style="medium"/>
      <bottom style="thin"/>
    </border>
    <border>
      <left style="thin"/>
      <right style="thin"/>
      <top style="medium"/>
      <bottom style="thin"/>
    </border>
    <border>
      <left style="thin"/>
      <right style="medium"/>
      <top style="medium"/>
      <bottom style="thin"/>
    </border>
  </borders>
  <cellStyleXfs count="9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2" fillId="0" borderId="0" applyNumberFormat="0" applyAlignment="0">
      <protection/>
    </xf>
    <xf numFmtId="0" fontId="62" fillId="26" borderId="0" applyNumberFormat="0" applyBorder="0" applyAlignment="0" applyProtection="0"/>
    <xf numFmtId="0" fontId="63" fillId="27" borderId="1" applyNumberFormat="0" applyAlignment="0" applyProtection="0"/>
    <xf numFmtId="0" fontId="6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5" fillId="0" borderId="0" applyNumberFormat="0" applyFill="0" applyBorder="0" applyAlignment="0" applyProtection="0"/>
    <xf numFmtId="0" fontId="66" fillId="29" borderId="0" applyNumberFormat="0" applyBorder="0" applyAlignment="0" applyProtection="0"/>
    <xf numFmtId="38" fontId="2" fillId="30" borderId="0" applyNumberFormat="0" applyBorder="0" applyAlignment="0" applyProtection="0"/>
    <xf numFmtId="0" fontId="7" fillId="0" borderId="3" applyNumberFormat="0" applyAlignment="0" applyProtection="0"/>
    <xf numFmtId="0" fontId="7" fillId="0" borderId="4">
      <alignment horizontal="left" vertical="center"/>
      <protection/>
    </xf>
    <xf numFmtId="0" fontId="67" fillId="0" borderId="5" applyNumberFormat="0" applyFill="0" applyAlignment="0" applyProtection="0"/>
    <xf numFmtId="0" fontId="68" fillId="0" borderId="6" applyNumberFormat="0" applyFill="0" applyAlignment="0" applyProtection="0"/>
    <xf numFmtId="0" fontId="69" fillId="0" borderId="7" applyNumberFormat="0" applyFill="0" applyAlignment="0" applyProtection="0"/>
    <xf numFmtId="0" fontId="69" fillId="0" borderId="0" applyNumberFormat="0" applyFill="0" applyBorder="0" applyAlignment="0" applyProtection="0"/>
    <xf numFmtId="0" fontId="70" fillId="31" borderId="1" applyNumberFormat="0" applyAlignment="0" applyProtection="0"/>
    <xf numFmtId="10" fontId="2" fillId="32" borderId="8" applyNumberFormat="0" applyBorder="0" applyAlignment="0" applyProtection="0"/>
    <xf numFmtId="0" fontId="71" fillId="0" borderId="9" applyNumberFormat="0" applyFill="0" applyAlignment="0" applyProtection="0"/>
    <xf numFmtId="0" fontId="72" fillId="33" borderId="0" applyNumberFormat="0" applyBorder="0" applyAlignment="0" applyProtection="0"/>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0" fontId="0" fillId="0" borderId="0">
      <alignment/>
      <protection/>
    </xf>
    <xf numFmtId="0" fontId="0" fillId="34" borderId="10" applyNumberFormat="0" applyFont="0" applyAlignment="0" applyProtection="0"/>
    <xf numFmtId="0" fontId="73" fillId="27" borderId="11" applyNumberFormat="0" applyAlignment="0" applyProtection="0"/>
    <xf numFmtId="9" fontId="0" fillId="0" borderId="0" applyFont="0" applyFill="0" applyBorder="0" applyAlignment="0" applyProtection="0"/>
    <xf numFmtId="10" fontId="0" fillId="0" borderId="0" applyFont="0" applyFill="0" applyBorder="0" applyAlignment="0" applyProtection="0"/>
    <xf numFmtId="10" fontId="0" fillId="0" borderId="0" applyFont="0" applyFill="0" applyBorder="0" applyAlignment="0" applyProtection="0"/>
    <xf numFmtId="10" fontId="0" fillId="0" borderId="0" applyFont="0" applyFill="0" applyBorder="0" applyAlignment="0" applyProtection="0"/>
    <xf numFmtId="10" fontId="0" fillId="0" borderId="0" applyFont="0" applyFill="0" applyBorder="0" applyAlignment="0" applyProtection="0"/>
    <xf numFmtId="10" fontId="0" fillId="0" borderId="0" applyFont="0" applyFill="0" applyBorder="0" applyAlignment="0" applyProtection="0"/>
    <xf numFmtId="10" fontId="0" fillId="0" borderId="0" applyFont="0" applyFill="0" applyBorder="0" applyAlignment="0" applyProtection="0"/>
    <xf numFmtId="10" fontId="0" fillId="0" borderId="0" applyFont="0" applyFill="0" applyBorder="0" applyAlignment="0" applyProtection="0"/>
    <xf numFmtId="10" fontId="0" fillId="0" borderId="0" applyFont="0" applyFill="0" applyBorder="0" applyAlignment="0" applyProtection="0"/>
    <xf numFmtId="10" fontId="0" fillId="0" borderId="0" applyFont="0" applyFill="0" applyBorder="0" applyAlignment="0" applyProtection="0"/>
    <xf numFmtId="10" fontId="0" fillId="0" borderId="0" applyFont="0" applyFill="0" applyBorder="0" applyAlignment="0" applyProtection="0"/>
    <xf numFmtId="0" fontId="22" fillId="0" borderId="0" applyNumberFormat="0" applyFont="0" applyFill="0" applyBorder="0" applyAlignment="0" applyProtection="0"/>
    <xf numFmtId="0" fontId="22" fillId="0" borderId="0" applyNumberFormat="0" applyFont="0" applyFill="0" applyBorder="0" applyAlignment="0" applyProtection="0"/>
    <xf numFmtId="0" fontId="22" fillId="0" borderId="0" applyNumberFormat="0" applyFont="0" applyFill="0" applyBorder="0" applyAlignment="0" applyProtection="0"/>
    <xf numFmtId="0" fontId="22" fillId="0" borderId="0" applyNumberFormat="0" applyFont="0" applyFill="0" applyBorder="0" applyAlignment="0" applyProtection="0"/>
    <xf numFmtId="0" fontId="22" fillId="0" borderId="0" applyNumberFormat="0" applyFont="0" applyFill="0" applyBorder="0" applyAlignment="0" applyProtection="0"/>
    <xf numFmtId="0" fontId="22" fillId="0" borderId="0" applyNumberFormat="0" applyFont="0" applyFill="0" applyBorder="0" applyAlignment="0" applyProtection="0"/>
    <xf numFmtId="0" fontId="22" fillId="0" borderId="0" applyNumberFormat="0" applyFont="0" applyFill="0" applyBorder="0" applyAlignment="0" applyProtection="0"/>
    <xf numFmtId="0" fontId="22" fillId="0" borderId="0" applyNumberFormat="0" applyFont="0" applyFill="0" applyBorder="0" applyAlignment="0" applyProtection="0"/>
    <xf numFmtId="0" fontId="22" fillId="0" borderId="0" applyNumberFormat="0" applyFont="0" applyFill="0" applyBorder="0" applyAlignment="0" applyProtection="0"/>
    <xf numFmtId="0" fontId="74" fillId="0" borderId="0" applyNumberFormat="0" applyFill="0" applyBorder="0" applyAlignment="0" applyProtection="0"/>
    <xf numFmtId="0" fontId="75" fillId="0" borderId="12" applyNumberFormat="0" applyFill="0" applyAlignment="0" applyProtection="0"/>
    <xf numFmtId="0" fontId="76" fillId="0" borderId="0" applyNumberFormat="0" applyFill="0" applyBorder="0" applyAlignment="0" applyProtection="0"/>
  </cellStyleXfs>
  <cellXfs count="434">
    <xf numFmtId="0" fontId="0" fillId="0" borderId="0" xfId="0" applyAlignment="1">
      <alignment/>
    </xf>
    <xf numFmtId="0" fontId="0" fillId="30" borderId="0" xfId="0" applyFont="1" applyFill="1" applyAlignment="1">
      <alignment/>
    </xf>
    <xf numFmtId="0" fontId="0" fillId="0" borderId="0" xfId="0" applyFont="1" applyAlignment="1">
      <alignment/>
    </xf>
    <xf numFmtId="0" fontId="8" fillId="0" borderId="13" xfId="0" applyFont="1" applyBorder="1" applyAlignment="1">
      <alignment horizontal="center" vertical="center" wrapText="1"/>
    </xf>
    <xf numFmtId="0" fontId="8" fillId="0" borderId="14" xfId="0" applyFont="1" applyBorder="1" applyAlignment="1">
      <alignment/>
    </xf>
    <xf numFmtId="0" fontId="0" fillId="0" borderId="15" xfId="0" applyFont="1" applyBorder="1" applyAlignment="1">
      <alignment/>
    </xf>
    <xf numFmtId="0" fontId="0" fillId="0" borderId="16" xfId="0" applyFont="1" applyBorder="1" applyAlignment="1">
      <alignment/>
    </xf>
    <xf numFmtId="0" fontId="0" fillId="0" borderId="17" xfId="0" applyFont="1" applyBorder="1" applyAlignment="1">
      <alignment/>
    </xf>
    <xf numFmtId="0" fontId="0" fillId="0" borderId="18" xfId="0" applyFont="1" applyBorder="1" applyAlignment="1">
      <alignment/>
    </xf>
    <xf numFmtId="0" fontId="0" fillId="0" borderId="19" xfId="0" applyFont="1" applyBorder="1" applyAlignment="1">
      <alignment/>
    </xf>
    <xf numFmtId="0" fontId="6" fillId="0" borderId="0" xfId="0" applyFont="1" applyFill="1" applyBorder="1" applyAlignment="1" applyProtection="1">
      <alignment horizontal="center" vertical="center"/>
      <protection/>
    </xf>
    <xf numFmtId="0" fontId="0" fillId="0" borderId="0" xfId="0" applyFont="1" applyFill="1" applyAlignment="1" applyProtection="1">
      <alignment vertical="center"/>
      <protection/>
    </xf>
    <xf numFmtId="0" fontId="21" fillId="35" borderId="0" xfId="0" applyFont="1" applyFill="1" applyAlignment="1">
      <alignment/>
    </xf>
    <xf numFmtId="0" fontId="8" fillId="0" borderId="20" xfId="0" applyFont="1" applyBorder="1" applyAlignment="1">
      <alignment/>
    </xf>
    <xf numFmtId="0" fontId="8" fillId="0" borderId="21" xfId="0" applyFont="1" applyBorder="1" applyAlignment="1">
      <alignment/>
    </xf>
    <xf numFmtId="0" fontId="8" fillId="0" borderId="21" xfId="0" applyFont="1" applyBorder="1" applyAlignment="1">
      <alignment horizontal="center"/>
    </xf>
    <xf numFmtId="0" fontId="0" fillId="0" borderId="0" xfId="0" applyFill="1" applyBorder="1" applyAlignment="1">
      <alignment/>
    </xf>
    <xf numFmtId="42" fontId="0" fillId="0" borderId="0" xfId="0" applyNumberFormat="1" applyAlignment="1">
      <alignment/>
    </xf>
    <xf numFmtId="44" fontId="0" fillId="0" borderId="0" xfId="0" applyNumberFormat="1" applyAlignment="1">
      <alignment/>
    </xf>
    <xf numFmtId="0" fontId="8" fillId="0" borderId="22" xfId="0" applyFont="1" applyBorder="1" applyAlignment="1">
      <alignment horizontal="center" vertical="center" wrapText="1"/>
    </xf>
    <xf numFmtId="0" fontId="8" fillId="0" borderId="23" xfId="0" applyFont="1" applyBorder="1" applyAlignment="1">
      <alignment horizontal="left"/>
    </xf>
    <xf numFmtId="0" fontId="0" fillId="0" borderId="24" xfId="0" applyFont="1" applyBorder="1" applyAlignment="1">
      <alignment horizontal="left"/>
    </xf>
    <xf numFmtId="0" fontId="8" fillId="0" borderId="25" xfId="0" applyFont="1" applyBorder="1" applyAlignment="1">
      <alignment horizontal="left"/>
    </xf>
    <xf numFmtId="0" fontId="0" fillId="0" borderId="26" xfId="0" applyFont="1" applyBorder="1" applyAlignment="1">
      <alignment horizontal="left"/>
    </xf>
    <xf numFmtId="0" fontId="8" fillId="0" borderId="24" xfId="0" applyFont="1" applyBorder="1" applyAlignment="1">
      <alignment horizontal="left"/>
    </xf>
    <xf numFmtId="0" fontId="8" fillId="0" borderId="27" xfId="0" applyFont="1" applyBorder="1" applyAlignment="1">
      <alignment horizontal="center" vertical="center" wrapText="1"/>
    </xf>
    <xf numFmtId="0" fontId="8" fillId="0" borderId="28" xfId="0" applyFont="1" applyBorder="1" applyAlignment="1">
      <alignment horizontal="center" vertical="center" wrapText="1"/>
    </xf>
    <xf numFmtId="2" fontId="0" fillId="36" borderId="0" xfId="0" applyNumberFormat="1" applyFont="1" applyFill="1" applyAlignment="1">
      <alignment horizontal="center"/>
    </xf>
    <xf numFmtId="0" fontId="0" fillId="0" borderId="29" xfId="0" applyFont="1" applyBorder="1" applyAlignment="1">
      <alignment horizontal="left"/>
    </xf>
    <xf numFmtId="0" fontId="6" fillId="30" borderId="0" xfId="0" applyFont="1" applyFill="1" applyBorder="1" applyAlignment="1" applyProtection="1">
      <alignment horizontal="center" vertical="center"/>
      <protection/>
    </xf>
    <xf numFmtId="2" fontId="8" fillId="0" borderId="30" xfId="0" applyNumberFormat="1" applyFont="1" applyFill="1" applyBorder="1" applyAlignment="1">
      <alignment horizontal="center" vertical="center" wrapText="1"/>
    </xf>
    <xf numFmtId="2" fontId="0" fillId="0" borderId="31" xfId="0" applyNumberFormat="1" applyFont="1" applyFill="1" applyBorder="1" applyAlignment="1">
      <alignment horizontal="center"/>
    </xf>
    <xf numFmtId="0" fontId="0" fillId="0" borderId="0" xfId="0" applyFill="1" applyAlignment="1">
      <alignment/>
    </xf>
    <xf numFmtId="0" fontId="0" fillId="0" borderId="32" xfId="0" applyBorder="1" applyAlignment="1">
      <alignment/>
    </xf>
    <xf numFmtId="0" fontId="8" fillId="0" borderId="32" xfId="0" applyFont="1" applyBorder="1" applyAlignment="1">
      <alignment/>
    </xf>
    <xf numFmtId="0" fontId="0" fillId="0" borderId="32" xfId="0" applyFill="1" applyBorder="1" applyAlignment="1">
      <alignment/>
    </xf>
    <xf numFmtId="0" fontId="23" fillId="35" borderId="33" xfId="0" applyFont="1" applyFill="1" applyBorder="1" applyAlignment="1">
      <alignment/>
    </xf>
    <xf numFmtId="0" fontId="8" fillId="0" borderId="8" xfId="0" applyFont="1" applyBorder="1" applyAlignment="1">
      <alignment horizontal="center" vertical="center" wrapText="1"/>
    </xf>
    <xf numFmtId="0" fontId="8" fillId="0" borderId="34" xfId="0" applyFont="1" applyBorder="1" applyAlignment="1">
      <alignment horizontal="center" vertical="center" wrapText="1"/>
    </xf>
    <xf numFmtId="44" fontId="0" fillId="0" borderId="34" xfId="0" applyNumberFormat="1" applyFill="1" applyBorder="1" applyAlignment="1">
      <alignment horizontal="center"/>
    </xf>
    <xf numFmtId="0" fontId="8" fillId="0" borderId="35" xfId="0" applyFont="1" applyBorder="1" applyAlignment="1">
      <alignment horizontal="center" vertical="center" wrapText="1"/>
    </xf>
    <xf numFmtId="0" fontId="8" fillId="0" borderId="36" xfId="0" applyFont="1" applyBorder="1" applyAlignment="1">
      <alignment horizontal="center" vertical="center" wrapText="1"/>
    </xf>
    <xf numFmtId="0" fontId="0" fillId="30" borderId="0" xfId="0" applyFill="1" applyAlignment="1">
      <alignment/>
    </xf>
    <xf numFmtId="44" fontId="0" fillId="30" borderId="0" xfId="0" applyNumberFormat="1" applyFill="1" applyAlignment="1">
      <alignment/>
    </xf>
    <xf numFmtId="0" fontId="0" fillId="37" borderId="0" xfId="0" applyFill="1" applyAlignment="1">
      <alignment/>
    </xf>
    <xf numFmtId="0" fontId="0" fillId="38" borderId="0" xfId="0" applyFill="1" applyAlignment="1">
      <alignment/>
    </xf>
    <xf numFmtId="44" fontId="0" fillId="39" borderId="37" xfId="0" applyNumberFormat="1" applyFont="1" applyFill="1" applyBorder="1" applyAlignment="1" applyProtection="1">
      <alignment/>
      <protection locked="0"/>
    </xf>
    <xf numFmtId="44" fontId="0" fillId="39" borderId="38" xfId="0" applyNumberFormat="1" applyFont="1" applyFill="1" applyBorder="1" applyAlignment="1" applyProtection="1">
      <alignment/>
      <protection locked="0"/>
    </xf>
    <xf numFmtId="44" fontId="0" fillId="39" borderId="39" xfId="0" applyNumberFormat="1" applyFont="1" applyFill="1" applyBorder="1" applyAlignment="1" applyProtection="1">
      <alignment/>
      <protection locked="0"/>
    </xf>
    <xf numFmtId="44" fontId="0" fillId="39" borderId="40" xfId="0" applyNumberFormat="1" applyFont="1" applyFill="1" applyBorder="1" applyAlignment="1" applyProtection="1">
      <alignment/>
      <protection locked="0"/>
    </xf>
    <xf numFmtId="0" fontId="0" fillId="0" borderId="31" xfId="0" applyFont="1" applyFill="1" applyBorder="1" applyAlignment="1">
      <alignment horizontal="center"/>
    </xf>
    <xf numFmtId="9" fontId="0" fillId="0" borderId="31" xfId="0" applyNumberFormat="1" applyFont="1" applyFill="1" applyBorder="1" applyAlignment="1" quotePrefix="1">
      <alignment horizontal="center"/>
    </xf>
    <xf numFmtId="0" fontId="0" fillId="0" borderId="41" xfId="0" applyFont="1" applyFill="1" applyBorder="1" applyAlignment="1">
      <alignment horizontal="center"/>
    </xf>
    <xf numFmtId="2" fontId="0" fillId="0" borderId="41" xfId="0" applyNumberFormat="1" applyFont="1" applyFill="1" applyBorder="1" applyAlignment="1">
      <alignment horizontal="center"/>
    </xf>
    <xf numFmtId="9" fontId="0" fillId="0" borderId="41" xfId="0" applyNumberFormat="1" applyFont="1" applyFill="1" applyBorder="1" applyAlignment="1">
      <alignment horizontal="center"/>
    </xf>
    <xf numFmtId="2" fontId="0" fillId="0" borderId="42" xfId="0" applyNumberFormat="1" applyFont="1" applyFill="1" applyBorder="1" applyAlignment="1">
      <alignment horizontal="center"/>
    </xf>
    <xf numFmtId="2" fontId="0" fillId="0" borderId="43" xfId="0" applyNumberFormat="1" applyFont="1" applyFill="1" applyBorder="1" applyAlignment="1">
      <alignment horizontal="center"/>
    </xf>
    <xf numFmtId="0" fontId="0" fillId="0" borderId="43" xfId="0" applyFont="1" applyFill="1" applyBorder="1" applyAlignment="1">
      <alignment horizontal="center"/>
    </xf>
    <xf numFmtId="9" fontId="0" fillId="0" borderId="43" xfId="0" applyNumberFormat="1" applyFont="1" applyFill="1" applyBorder="1" applyAlignment="1">
      <alignment horizontal="center"/>
    </xf>
    <xf numFmtId="9" fontId="0" fillId="0" borderId="31" xfId="0" applyNumberFormat="1" applyFont="1" applyFill="1" applyBorder="1" applyAlignment="1">
      <alignment horizontal="center"/>
    </xf>
    <xf numFmtId="0" fontId="0" fillId="0" borderId="42" xfId="0" applyFont="1" applyFill="1" applyBorder="1" applyAlignment="1">
      <alignment horizontal="center"/>
    </xf>
    <xf numFmtId="9" fontId="0" fillId="0" borderId="42" xfId="0" applyNumberFormat="1" applyFont="1" applyFill="1" applyBorder="1" applyAlignment="1">
      <alignment horizontal="center"/>
    </xf>
    <xf numFmtId="0" fontId="0" fillId="0" borderId="44" xfId="0" applyFont="1" applyFill="1" applyBorder="1" applyAlignment="1">
      <alignment horizontal="center"/>
    </xf>
    <xf numFmtId="2" fontId="0" fillId="0" borderId="44" xfId="0" applyNumberFormat="1" applyFont="1" applyFill="1" applyBorder="1" applyAlignment="1">
      <alignment horizontal="center"/>
    </xf>
    <xf numFmtId="9" fontId="0" fillId="0" borderId="44" xfId="0" applyNumberFormat="1" applyFont="1" applyFill="1" applyBorder="1" applyAlignment="1">
      <alignment horizontal="center"/>
    </xf>
    <xf numFmtId="0" fontId="5" fillId="0" borderId="0" xfId="0" applyFont="1" applyAlignment="1">
      <alignment/>
    </xf>
    <xf numFmtId="14" fontId="25" fillId="0" borderId="0" xfId="0" applyNumberFormat="1" applyFont="1" applyAlignment="1">
      <alignment/>
    </xf>
    <xf numFmtId="0" fontId="35" fillId="0" borderId="0" xfId="0" applyFont="1" applyAlignment="1">
      <alignment/>
    </xf>
    <xf numFmtId="0" fontId="27" fillId="38" borderId="0" xfId="0" applyFont="1" applyFill="1" applyAlignment="1">
      <alignment/>
    </xf>
    <xf numFmtId="0" fontId="26" fillId="38" borderId="0" xfId="0" applyFont="1" applyFill="1" applyAlignment="1">
      <alignment/>
    </xf>
    <xf numFmtId="0" fontId="25" fillId="0" borderId="0" xfId="0" applyFont="1" applyAlignment="1">
      <alignment/>
    </xf>
    <xf numFmtId="0" fontId="36" fillId="0" borderId="0" xfId="0" applyFont="1" applyAlignment="1">
      <alignment/>
    </xf>
    <xf numFmtId="0" fontId="25" fillId="0" borderId="0" xfId="0" applyFont="1" applyAlignment="1">
      <alignment horizontal="right"/>
    </xf>
    <xf numFmtId="0" fontId="36" fillId="0" borderId="0" xfId="0" applyFont="1" applyAlignment="1">
      <alignment horizontal="left"/>
    </xf>
    <xf numFmtId="3" fontId="36" fillId="0" borderId="8" xfId="0" applyNumberFormat="1" applyFont="1" applyBorder="1" applyAlignment="1">
      <alignment/>
    </xf>
    <xf numFmtId="0" fontId="36" fillId="0" borderId="8" xfId="0" applyFont="1" applyBorder="1" applyAlignment="1">
      <alignment/>
    </xf>
    <xf numFmtId="3" fontId="37" fillId="0" borderId="4" xfId="0" applyNumberFormat="1" applyFont="1" applyBorder="1" applyAlignment="1">
      <alignment/>
    </xf>
    <xf numFmtId="9" fontId="36" fillId="0" borderId="8" xfId="0" applyNumberFormat="1" applyFont="1" applyBorder="1" applyAlignment="1">
      <alignment/>
    </xf>
    <xf numFmtId="0" fontId="38" fillId="0" borderId="0" xfId="0" applyFont="1" applyFill="1" applyAlignment="1">
      <alignment/>
    </xf>
    <xf numFmtId="0" fontId="38" fillId="0" borderId="0" xfId="0" applyFont="1" applyFill="1" applyAlignment="1">
      <alignment horizontal="center"/>
    </xf>
    <xf numFmtId="0" fontId="37" fillId="0" borderId="0" xfId="0" applyFont="1" applyFill="1" applyAlignment="1">
      <alignment/>
    </xf>
    <xf numFmtId="3" fontId="0" fillId="0" borderId="0" xfId="0" applyNumberFormat="1" applyAlignment="1">
      <alignment/>
    </xf>
    <xf numFmtId="0" fontId="0" fillId="0" borderId="0" xfId="0" applyAlignment="1">
      <alignment horizontal="center"/>
    </xf>
    <xf numFmtId="166" fontId="0" fillId="0" borderId="0" xfId="0" applyNumberFormat="1" applyAlignment="1">
      <alignment/>
    </xf>
    <xf numFmtId="167" fontId="0" fillId="0" borderId="0" xfId="0" applyNumberFormat="1" applyAlignment="1">
      <alignment/>
    </xf>
    <xf numFmtId="0" fontId="37" fillId="0" borderId="0" xfId="0" applyFont="1" applyFill="1" applyAlignment="1">
      <alignment horizontal="right"/>
    </xf>
    <xf numFmtId="3" fontId="0" fillId="0" borderId="0" xfId="0" applyNumberFormat="1" applyBorder="1" applyAlignment="1">
      <alignment/>
    </xf>
    <xf numFmtId="0" fontId="0" fillId="0" borderId="45" xfId="0" applyBorder="1" applyAlignment="1">
      <alignment/>
    </xf>
    <xf numFmtId="3" fontId="0" fillId="0" borderId="45" xfId="0" applyNumberFormat="1" applyBorder="1" applyAlignment="1">
      <alignment/>
    </xf>
    <xf numFmtId="0" fontId="0" fillId="0" borderId="45" xfId="0" applyBorder="1" applyAlignment="1">
      <alignment horizontal="center"/>
    </xf>
    <xf numFmtId="166" fontId="0" fillId="0" borderId="45" xfId="0" applyNumberFormat="1" applyBorder="1" applyAlignment="1">
      <alignment/>
    </xf>
    <xf numFmtId="167" fontId="0" fillId="0" borderId="45" xfId="0" applyNumberFormat="1" applyBorder="1" applyAlignment="1">
      <alignment/>
    </xf>
    <xf numFmtId="0" fontId="38" fillId="0" borderId="0" xfId="0" applyFont="1" applyAlignment="1">
      <alignment horizontal="right"/>
    </xf>
    <xf numFmtId="167" fontId="8" fillId="0" borderId="0" xfId="0" applyNumberFormat="1" applyFont="1" applyBorder="1" applyAlignment="1">
      <alignment/>
    </xf>
    <xf numFmtId="9" fontId="0" fillId="0" borderId="0" xfId="0" applyNumberFormat="1" applyAlignment="1">
      <alignment/>
    </xf>
    <xf numFmtId="167" fontId="0" fillId="0" borderId="0" xfId="0" applyNumberFormat="1" applyAlignment="1">
      <alignment/>
    </xf>
    <xf numFmtId="166" fontId="0" fillId="0" borderId="0" xfId="0" applyNumberFormat="1" applyAlignment="1">
      <alignment/>
    </xf>
    <xf numFmtId="9" fontId="0" fillId="0" borderId="45" xfId="0" applyNumberFormat="1" applyBorder="1" applyAlignment="1">
      <alignment/>
    </xf>
    <xf numFmtId="167" fontId="0" fillId="0" borderId="45" xfId="0" applyNumberFormat="1" applyBorder="1" applyAlignment="1">
      <alignment/>
    </xf>
    <xf numFmtId="0" fontId="0" fillId="0" borderId="46" xfId="0" applyBorder="1" applyAlignment="1">
      <alignment/>
    </xf>
    <xf numFmtId="0" fontId="39" fillId="0" borderId="0" xfId="0" applyFont="1" applyAlignment="1">
      <alignment horizontal="right"/>
    </xf>
    <xf numFmtId="167" fontId="40" fillId="0" borderId="0" xfId="0" applyNumberFormat="1" applyFont="1" applyAlignment="1">
      <alignment/>
    </xf>
    <xf numFmtId="167" fontId="0" fillId="0" borderId="0" xfId="0" applyNumberFormat="1" applyFont="1" applyAlignment="1">
      <alignment/>
    </xf>
    <xf numFmtId="167" fontId="8" fillId="0" borderId="0" xfId="0" applyNumberFormat="1" applyFont="1" applyAlignment="1">
      <alignment/>
    </xf>
    <xf numFmtId="0" fontId="23" fillId="35" borderId="0" xfId="0" applyFont="1" applyFill="1" applyAlignment="1">
      <alignment/>
    </xf>
    <xf numFmtId="3" fontId="36" fillId="0" borderId="8" xfId="0" applyNumberFormat="1" applyFont="1" applyFill="1" applyBorder="1" applyAlignment="1">
      <alignment/>
    </xf>
    <xf numFmtId="0" fontId="36" fillId="0" borderId="8" xfId="0" applyFont="1" applyFill="1" applyBorder="1" applyAlignment="1">
      <alignment/>
    </xf>
    <xf numFmtId="3" fontId="37" fillId="0" borderId="4" xfId="0" applyNumberFormat="1" applyFont="1" applyFill="1" applyBorder="1" applyAlignment="1">
      <alignment/>
    </xf>
    <xf numFmtId="9" fontId="36" fillId="0" borderId="8" xfId="0" applyNumberFormat="1" applyFont="1" applyFill="1" applyBorder="1" applyAlignment="1">
      <alignment/>
    </xf>
    <xf numFmtId="0" fontId="0" fillId="0" borderId="47" xfId="0" applyFill="1" applyBorder="1" applyAlignment="1">
      <alignment horizontal="center"/>
    </xf>
    <xf numFmtId="0" fontId="24" fillId="0" borderId="47" xfId="0" applyFont="1" applyFill="1" applyBorder="1" applyAlignment="1">
      <alignment/>
    </xf>
    <xf numFmtId="0" fontId="24" fillId="0" borderId="0" xfId="0" applyFont="1" applyFill="1" applyBorder="1" applyAlignment="1">
      <alignment/>
    </xf>
    <xf numFmtId="0" fontId="0" fillId="0" borderId="47" xfId="0" applyFill="1" applyBorder="1" applyAlignment="1">
      <alignment/>
    </xf>
    <xf numFmtId="0" fontId="0" fillId="0" borderId="48" xfId="0" applyBorder="1" applyAlignment="1">
      <alignment/>
    </xf>
    <xf numFmtId="0" fontId="0" fillId="0" borderId="49" xfId="0" applyFont="1" applyFill="1" applyBorder="1" applyAlignment="1">
      <alignment/>
    </xf>
    <xf numFmtId="0" fontId="0" fillId="0" borderId="49" xfId="0" applyFont="1" applyFill="1" applyBorder="1" applyAlignment="1">
      <alignment/>
    </xf>
    <xf numFmtId="0" fontId="0" fillId="0" borderId="49" xfId="0" applyFill="1" applyBorder="1" applyAlignment="1">
      <alignment/>
    </xf>
    <xf numFmtId="0" fontId="0" fillId="0" borderId="49" xfId="0" applyBorder="1" applyAlignment="1">
      <alignment/>
    </xf>
    <xf numFmtId="0" fontId="0" fillId="0" borderId="50" xfId="0" applyBorder="1" applyAlignment="1">
      <alignment/>
    </xf>
    <xf numFmtId="0" fontId="36" fillId="0" borderId="48" xfId="0" applyFont="1" applyBorder="1" applyAlignment="1">
      <alignment horizontal="center"/>
    </xf>
    <xf numFmtId="0" fontId="36" fillId="0" borderId="49" xfId="0" applyFont="1" applyBorder="1" applyAlignment="1">
      <alignment horizontal="center"/>
    </xf>
    <xf numFmtId="0" fontId="36" fillId="0" borderId="50" xfId="0" applyFont="1" applyBorder="1" applyAlignment="1">
      <alignment horizontal="center"/>
    </xf>
    <xf numFmtId="0" fontId="0" fillId="0" borderId="51" xfId="0" applyFont="1" applyFill="1" applyBorder="1" applyAlignment="1">
      <alignment horizontal="center"/>
    </xf>
    <xf numFmtId="0" fontId="0" fillId="0" borderId="52" xfId="0" applyFill="1" applyBorder="1" applyAlignment="1">
      <alignment horizontal="center"/>
    </xf>
    <xf numFmtId="0" fontId="0" fillId="0" borderId="52" xfId="0" applyFont="1" applyFill="1" applyBorder="1" applyAlignment="1">
      <alignment horizontal="center"/>
    </xf>
    <xf numFmtId="0" fontId="0" fillId="0" borderId="52" xfId="0" applyFont="1" applyFill="1" applyBorder="1" applyAlignment="1">
      <alignment horizontal="center"/>
    </xf>
    <xf numFmtId="0" fontId="0" fillId="0" borderId="53" xfId="0" applyFont="1" applyFill="1" applyBorder="1" applyAlignment="1">
      <alignment horizontal="center"/>
    </xf>
    <xf numFmtId="0" fontId="0" fillId="0" borderId="54" xfId="0" applyBorder="1" applyAlignment="1">
      <alignment/>
    </xf>
    <xf numFmtId="0" fontId="0" fillId="0" borderId="55" xfId="0" applyFont="1" applyFill="1" applyBorder="1" applyAlignment="1">
      <alignment horizontal="center"/>
    </xf>
    <xf numFmtId="0" fontId="0" fillId="0" borderId="53" xfId="0" applyFont="1" applyFill="1" applyBorder="1" applyAlignment="1">
      <alignment horizontal="center"/>
    </xf>
    <xf numFmtId="0" fontId="0" fillId="0" borderId="50" xfId="0" applyFont="1" applyFill="1" applyBorder="1" applyAlignment="1">
      <alignment/>
    </xf>
    <xf numFmtId="0" fontId="0" fillId="0" borderId="53" xfId="0" applyFill="1" applyBorder="1" applyAlignment="1">
      <alignment horizontal="center"/>
    </xf>
    <xf numFmtId="0" fontId="0" fillId="0" borderId="47" xfId="0" applyBorder="1" applyAlignment="1">
      <alignment/>
    </xf>
    <xf numFmtId="0" fontId="0" fillId="0" borderId="47" xfId="0" applyFont="1" applyFill="1" applyBorder="1" applyAlignment="1">
      <alignment/>
    </xf>
    <xf numFmtId="0" fontId="0" fillId="0" borderId="47" xfId="0" applyFont="1" applyFill="1" applyBorder="1" applyAlignment="1">
      <alignment horizontal="center"/>
    </xf>
    <xf numFmtId="0" fontId="0" fillId="0" borderId="56" xfId="0" applyFont="1" applyFill="1" applyBorder="1" applyAlignment="1">
      <alignment/>
    </xf>
    <xf numFmtId="0" fontId="12" fillId="37" borderId="0" xfId="0" applyFont="1" applyFill="1" applyAlignment="1">
      <alignment/>
    </xf>
    <xf numFmtId="0" fontId="0" fillId="0" borderId="56" xfId="0" applyBorder="1" applyAlignment="1">
      <alignment/>
    </xf>
    <xf numFmtId="0" fontId="0" fillId="0" borderId="55" xfId="0" applyBorder="1" applyAlignment="1">
      <alignment/>
    </xf>
    <xf numFmtId="9" fontId="0" fillId="0" borderId="57" xfId="0" applyNumberFormat="1" applyFont="1" applyFill="1" applyBorder="1" applyAlignment="1" applyProtection="1">
      <alignment/>
      <protection locked="0"/>
    </xf>
    <xf numFmtId="9" fontId="0" fillId="0" borderId="0" xfId="0" applyNumberFormat="1" applyFont="1" applyFill="1" applyBorder="1" applyAlignment="1" applyProtection="1">
      <alignment/>
      <protection locked="0"/>
    </xf>
    <xf numFmtId="0" fontId="0" fillId="0" borderId="52" xfId="0" applyFont="1" applyFill="1" applyBorder="1" applyAlignment="1">
      <alignment/>
    </xf>
    <xf numFmtId="0" fontId="0" fillId="0" borderId="52" xfId="0" applyFont="1" applyFill="1" applyBorder="1" applyAlignment="1">
      <alignment/>
    </xf>
    <xf numFmtId="0" fontId="0" fillId="0" borderId="52" xfId="0" applyFill="1" applyBorder="1" applyAlignment="1">
      <alignment/>
    </xf>
    <xf numFmtId="0" fontId="0" fillId="0" borderId="53" xfId="0" applyFont="1" applyFill="1" applyBorder="1" applyAlignment="1">
      <alignment/>
    </xf>
    <xf numFmtId="0" fontId="0" fillId="0" borderId="51" xfId="0" applyBorder="1" applyAlignment="1">
      <alignment/>
    </xf>
    <xf numFmtId="0" fontId="0" fillId="0" borderId="52" xfId="0" applyBorder="1" applyAlignment="1">
      <alignment/>
    </xf>
    <xf numFmtId="0" fontId="0" fillId="0" borderId="53" xfId="0" applyBorder="1" applyAlignment="1">
      <alignment/>
    </xf>
    <xf numFmtId="0" fontId="0" fillId="0" borderId="55" xfId="0" applyFont="1" applyBorder="1" applyAlignment="1">
      <alignment/>
    </xf>
    <xf numFmtId="9" fontId="0" fillId="39" borderId="48" xfId="0" applyNumberFormat="1" applyFont="1" applyFill="1" applyBorder="1" applyAlignment="1" applyProtection="1">
      <alignment/>
      <protection locked="0"/>
    </xf>
    <xf numFmtId="9" fontId="0" fillId="39" borderId="49" xfId="0" applyNumberFormat="1" applyFont="1" applyFill="1" applyBorder="1" applyAlignment="1" applyProtection="1">
      <alignment/>
      <protection locked="0"/>
    </xf>
    <xf numFmtId="9" fontId="0" fillId="39" borderId="50" xfId="0" applyNumberFormat="1" applyFont="1" applyFill="1" applyBorder="1" applyAlignment="1" applyProtection="1">
      <alignment/>
      <protection locked="0"/>
    </xf>
    <xf numFmtId="9" fontId="0" fillId="39" borderId="54" xfId="0" applyNumberFormat="1" applyFont="1" applyFill="1" applyBorder="1" applyAlignment="1" applyProtection="1">
      <alignment/>
      <protection locked="0"/>
    </xf>
    <xf numFmtId="0" fontId="0" fillId="0" borderId="51" xfId="0" applyFont="1" applyBorder="1" applyAlignment="1">
      <alignment/>
    </xf>
    <xf numFmtId="0" fontId="0" fillId="0" borderId="56" xfId="0" applyFont="1" applyBorder="1" applyAlignment="1">
      <alignment/>
    </xf>
    <xf numFmtId="0" fontId="0" fillId="0" borderId="57" xfId="0" applyFont="1" applyFill="1" applyBorder="1" applyAlignment="1">
      <alignment/>
    </xf>
    <xf numFmtId="0" fontId="0" fillId="0" borderId="58" xfId="0" applyFont="1" applyBorder="1" applyAlignment="1">
      <alignment horizontal="left"/>
    </xf>
    <xf numFmtId="0" fontId="0" fillId="0" borderId="59" xfId="0" applyFont="1" applyFill="1" applyBorder="1" applyAlignment="1">
      <alignment horizontal="center"/>
    </xf>
    <xf numFmtId="2" fontId="0" fillId="0" borderId="59" xfId="0" applyNumberFormat="1" applyFont="1" applyFill="1" applyBorder="1" applyAlignment="1">
      <alignment horizontal="center"/>
    </xf>
    <xf numFmtId="9" fontId="0" fillId="0" borderId="59" xfId="0" applyNumberFormat="1" applyFont="1" applyFill="1" applyBorder="1" applyAlignment="1">
      <alignment horizontal="center"/>
    </xf>
    <xf numFmtId="0" fontId="0" fillId="0" borderId="60" xfId="0" applyFont="1" applyBorder="1" applyAlignment="1">
      <alignment/>
    </xf>
    <xf numFmtId="0" fontId="0" fillId="0" borderId="61" xfId="0" applyFont="1" applyBorder="1" applyAlignment="1">
      <alignment horizontal="left"/>
    </xf>
    <xf numFmtId="0" fontId="0" fillId="0" borderId="62" xfId="0" applyFont="1" applyFill="1" applyBorder="1" applyAlignment="1">
      <alignment horizontal="center"/>
    </xf>
    <xf numFmtId="2" fontId="0" fillId="0" borderId="62" xfId="0" applyNumberFormat="1" applyFont="1" applyFill="1" applyBorder="1" applyAlignment="1">
      <alignment horizontal="center"/>
    </xf>
    <xf numFmtId="9" fontId="0" fillId="0" borderId="62" xfId="0" applyNumberFormat="1" applyFont="1" applyFill="1" applyBorder="1" applyAlignment="1">
      <alignment horizontal="center"/>
    </xf>
    <xf numFmtId="0" fontId="0" fillId="0" borderId="28" xfId="0" applyFont="1" applyBorder="1" applyAlignment="1">
      <alignment/>
    </xf>
    <xf numFmtId="0" fontId="0" fillId="0" borderId="63" xfId="0" applyFont="1" applyBorder="1" applyAlignment="1">
      <alignment horizontal="left"/>
    </xf>
    <xf numFmtId="0" fontId="0" fillId="0" borderId="64" xfId="0" applyFont="1" applyFill="1" applyBorder="1" applyAlignment="1">
      <alignment horizontal="center"/>
    </xf>
    <xf numFmtId="2" fontId="0" fillId="0" borderId="64" xfId="0" applyNumberFormat="1" applyFont="1" applyFill="1" applyBorder="1" applyAlignment="1">
      <alignment horizontal="center"/>
    </xf>
    <xf numFmtId="9" fontId="0" fillId="0" borderId="64" xfId="0" applyNumberFormat="1" applyFont="1" applyFill="1" applyBorder="1" applyAlignment="1">
      <alignment horizontal="center"/>
    </xf>
    <xf numFmtId="0" fontId="0" fillId="0" borderId="65" xfId="0" applyFont="1" applyBorder="1" applyAlignment="1">
      <alignment/>
    </xf>
    <xf numFmtId="0" fontId="8" fillId="0" borderId="66" xfId="0" applyFont="1" applyBorder="1" applyAlignment="1">
      <alignment horizontal="right" wrapText="1"/>
    </xf>
    <xf numFmtId="44" fontId="0" fillId="0" borderId="66" xfId="0" applyNumberFormat="1" applyBorder="1" applyAlignment="1">
      <alignment horizontal="center"/>
    </xf>
    <xf numFmtId="0" fontId="8" fillId="0" borderId="4" xfId="0" applyFont="1" applyBorder="1" applyAlignment="1">
      <alignment horizontal="center" vertical="center" wrapText="1"/>
    </xf>
    <xf numFmtId="0" fontId="0" fillId="0" borderId="8" xfId="0" applyFill="1" applyBorder="1" applyAlignment="1">
      <alignment horizontal="center"/>
    </xf>
    <xf numFmtId="0" fontId="0" fillId="0" borderId="35" xfId="0" applyFill="1" applyBorder="1" applyAlignment="1">
      <alignment horizontal="center"/>
    </xf>
    <xf numFmtId="42" fontId="0" fillId="0" borderId="36" xfId="0" applyNumberFormat="1" applyFill="1" applyBorder="1" applyAlignment="1">
      <alignment horizontal="center"/>
    </xf>
    <xf numFmtId="42" fontId="0" fillId="0" borderId="4" xfId="0" applyNumberFormat="1" applyFill="1" applyBorder="1" applyAlignment="1">
      <alignment horizontal="center"/>
    </xf>
    <xf numFmtId="44" fontId="8" fillId="0" borderId="34" xfId="0" applyNumberFormat="1" applyFont="1" applyFill="1" applyBorder="1" applyAlignment="1">
      <alignment horizontal="center"/>
    </xf>
    <xf numFmtId="0" fontId="36" fillId="17" borderId="49" xfId="0" applyFont="1" applyFill="1" applyBorder="1" applyAlignment="1">
      <alignment horizontal="center"/>
    </xf>
    <xf numFmtId="0" fontId="0" fillId="17" borderId="8" xfId="0" applyFill="1" applyBorder="1" applyAlignment="1">
      <alignment horizontal="center"/>
    </xf>
    <xf numFmtId="0" fontId="0" fillId="17" borderId="35" xfId="0" applyFill="1" applyBorder="1" applyAlignment="1">
      <alignment horizontal="center"/>
    </xf>
    <xf numFmtId="42" fontId="0" fillId="17" borderId="36" xfId="0" applyNumberFormat="1" applyFill="1" applyBorder="1" applyAlignment="1">
      <alignment horizontal="center"/>
    </xf>
    <xf numFmtId="44" fontId="8" fillId="17" borderId="34" xfId="0" applyNumberFormat="1" applyFont="1" applyFill="1" applyBorder="1" applyAlignment="1">
      <alignment horizontal="center"/>
    </xf>
    <xf numFmtId="44" fontId="0" fillId="17" borderId="34" xfId="0" applyNumberFormat="1" applyFill="1" applyBorder="1" applyAlignment="1">
      <alignment horizontal="center"/>
    </xf>
    <xf numFmtId="0" fontId="36" fillId="17" borderId="50" xfId="0" applyFont="1" applyFill="1" applyBorder="1" applyAlignment="1">
      <alignment horizontal="center"/>
    </xf>
    <xf numFmtId="44" fontId="8" fillId="17" borderId="67" xfId="0" applyNumberFormat="1" applyFont="1" applyFill="1" applyBorder="1" applyAlignment="1">
      <alignment horizontal="left" vertical="center"/>
    </xf>
    <xf numFmtId="10" fontId="0" fillId="17" borderId="4" xfId="0" applyNumberFormat="1" applyFill="1" applyBorder="1" applyAlignment="1">
      <alignment horizontal="center"/>
    </xf>
    <xf numFmtId="2" fontId="0" fillId="0" borderId="68" xfId="0" applyNumberFormat="1" applyFont="1" applyFill="1" applyBorder="1" applyAlignment="1">
      <alignment horizontal="center"/>
    </xf>
    <xf numFmtId="2" fontId="0" fillId="0" borderId="69" xfId="0" applyNumberFormat="1" applyFont="1" applyFill="1" applyBorder="1" applyAlignment="1">
      <alignment horizontal="center"/>
    </xf>
    <xf numFmtId="2" fontId="0" fillId="0" borderId="70" xfId="0" applyNumberFormat="1" applyFont="1" applyFill="1" applyBorder="1" applyAlignment="1">
      <alignment horizontal="center"/>
    </xf>
    <xf numFmtId="2" fontId="0" fillId="0" borderId="71" xfId="0" applyNumberFormat="1" applyFont="1" applyFill="1" applyBorder="1" applyAlignment="1">
      <alignment horizontal="center"/>
    </xf>
    <xf numFmtId="2" fontId="0" fillId="0" borderId="21" xfId="0" applyNumberFormat="1" applyFont="1" applyFill="1" applyBorder="1" applyAlignment="1">
      <alignment horizontal="center"/>
    </xf>
    <xf numFmtId="2" fontId="0" fillId="0" borderId="72" xfId="0" applyNumberFormat="1" applyFont="1" applyFill="1" applyBorder="1" applyAlignment="1">
      <alignment horizontal="center"/>
    </xf>
    <xf numFmtId="2" fontId="0" fillId="0" borderId="73" xfId="0" applyNumberFormat="1" applyFont="1" applyFill="1" applyBorder="1" applyAlignment="1">
      <alignment horizontal="center"/>
    </xf>
    <xf numFmtId="2" fontId="0" fillId="0" borderId="74" xfId="0" applyNumberFormat="1" applyFont="1" applyFill="1" applyBorder="1" applyAlignment="1">
      <alignment horizontal="center"/>
    </xf>
    <xf numFmtId="2" fontId="8" fillId="0" borderId="73" xfId="0" applyNumberFormat="1" applyFont="1" applyFill="1" applyBorder="1" applyAlignment="1">
      <alignment horizontal="center" vertical="center" wrapText="1"/>
    </xf>
    <xf numFmtId="2" fontId="8" fillId="0" borderId="75" xfId="0" applyNumberFormat="1" applyFont="1" applyFill="1" applyBorder="1" applyAlignment="1">
      <alignment horizontal="center" vertical="center" wrapText="1"/>
    </xf>
    <xf numFmtId="2" fontId="8" fillId="0" borderId="62" xfId="0" applyNumberFormat="1" applyFont="1" applyFill="1" applyBorder="1" applyAlignment="1">
      <alignment horizontal="center" vertical="center" wrapText="1"/>
    </xf>
    <xf numFmtId="2" fontId="0" fillId="0" borderId="0" xfId="0" applyNumberFormat="1" applyFont="1" applyFill="1" applyAlignment="1">
      <alignment horizontal="center"/>
    </xf>
    <xf numFmtId="49" fontId="8" fillId="0" borderId="75" xfId="0" applyNumberFormat="1" applyFont="1" applyFill="1" applyBorder="1" applyAlignment="1">
      <alignment horizontal="center" vertical="center" wrapText="1"/>
    </xf>
    <xf numFmtId="0" fontId="8" fillId="0" borderId="75" xfId="0" applyFont="1" applyFill="1" applyBorder="1" applyAlignment="1">
      <alignment horizontal="center" vertical="center" wrapText="1"/>
    </xf>
    <xf numFmtId="9" fontId="8" fillId="0" borderId="75" xfId="0" applyNumberFormat="1" applyFont="1" applyFill="1" applyBorder="1" applyAlignment="1">
      <alignment horizontal="center" vertical="center" wrapText="1"/>
    </xf>
    <xf numFmtId="49" fontId="8" fillId="0" borderId="62" xfId="0" applyNumberFormat="1" applyFont="1" applyFill="1" applyBorder="1" applyAlignment="1">
      <alignment horizontal="center" vertical="center" wrapText="1"/>
    </xf>
    <xf numFmtId="0" fontId="8" fillId="0" borderId="62" xfId="0" applyFont="1" applyFill="1" applyBorder="1" applyAlignment="1">
      <alignment horizontal="center" vertical="center" wrapText="1"/>
    </xf>
    <xf numFmtId="9" fontId="8" fillId="0" borderId="62" xfId="0" applyNumberFormat="1" applyFont="1" applyFill="1" applyBorder="1" applyAlignment="1">
      <alignment horizontal="center" vertical="center" wrapText="1"/>
    </xf>
    <xf numFmtId="49" fontId="0" fillId="0" borderId="41" xfId="0" applyNumberFormat="1" applyFont="1" applyFill="1" applyBorder="1" applyAlignment="1">
      <alignment horizontal="center"/>
    </xf>
    <xf numFmtId="49" fontId="0" fillId="0" borderId="31" xfId="0" applyNumberFormat="1" applyFont="1" applyFill="1" applyBorder="1" applyAlignment="1">
      <alignment horizontal="center"/>
    </xf>
    <xf numFmtId="49" fontId="0" fillId="0" borderId="43" xfId="0" applyNumberFormat="1" applyFont="1" applyFill="1" applyBorder="1" applyAlignment="1">
      <alignment horizontal="center"/>
    </xf>
    <xf numFmtId="49" fontId="0" fillId="0" borderId="59" xfId="0" applyNumberFormat="1" applyFont="1" applyFill="1" applyBorder="1" applyAlignment="1">
      <alignment horizontal="center"/>
    </xf>
    <xf numFmtId="49" fontId="0" fillId="0" borderId="64" xfId="0" applyNumberFormat="1" applyFont="1" applyFill="1" applyBorder="1" applyAlignment="1">
      <alignment horizontal="center"/>
    </xf>
    <xf numFmtId="49" fontId="0" fillId="0" borderId="42" xfId="0" applyNumberFormat="1" applyFont="1" applyFill="1" applyBorder="1" applyAlignment="1">
      <alignment horizontal="center"/>
    </xf>
    <xf numFmtId="49" fontId="0" fillId="0" borderId="62" xfId="0" applyNumberFormat="1" applyFont="1" applyFill="1" applyBorder="1" applyAlignment="1">
      <alignment horizontal="center"/>
    </xf>
    <xf numFmtId="49" fontId="0" fillId="0" borderId="44" xfId="0" applyNumberFormat="1" applyFont="1" applyFill="1" applyBorder="1" applyAlignment="1">
      <alignment horizontal="center"/>
    </xf>
    <xf numFmtId="49" fontId="0" fillId="0" borderId="0" xfId="0" applyNumberFormat="1" applyFont="1" applyFill="1" applyAlignment="1">
      <alignment horizontal="center"/>
    </xf>
    <xf numFmtId="0" fontId="0" fillId="0" borderId="0" xfId="0" applyFont="1" applyFill="1" applyAlignment="1">
      <alignment horizontal="center"/>
    </xf>
    <xf numFmtId="0" fontId="2" fillId="0" borderId="0" xfId="0" applyFont="1" applyFill="1" applyAlignment="1">
      <alignment horizontal="left"/>
    </xf>
    <xf numFmtId="9" fontId="0" fillId="0" borderId="0" xfId="0" applyNumberFormat="1" applyFont="1" applyFill="1" applyAlignment="1">
      <alignment horizontal="center"/>
    </xf>
    <xf numFmtId="0" fontId="0" fillId="0" borderId="0" xfId="70" applyFill="1" applyProtection="1">
      <alignment/>
      <protection/>
    </xf>
    <xf numFmtId="0" fontId="0" fillId="0" borderId="0" xfId="70" applyFill="1" applyProtection="1" quotePrefix="1">
      <alignment/>
      <protection/>
    </xf>
    <xf numFmtId="0" fontId="0" fillId="0" borderId="0" xfId="70" applyFill="1" applyAlignment="1" applyProtection="1">
      <alignment horizontal="center"/>
      <protection/>
    </xf>
    <xf numFmtId="0" fontId="0" fillId="0" borderId="76" xfId="70" applyFill="1" applyBorder="1" applyProtection="1">
      <alignment/>
      <protection/>
    </xf>
    <xf numFmtId="0" fontId="0" fillId="0" borderId="77" xfId="70" applyFill="1" applyBorder="1" applyProtection="1">
      <alignment/>
      <protection/>
    </xf>
    <xf numFmtId="0" fontId="0" fillId="0" borderId="78" xfId="70" applyFill="1" applyBorder="1" applyProtection="1">
      <alignment/>
      <protection/>
    </xf>
    <xf numFmtId="0" fontId="0" fillId="0" borderId="0" xfId="70" applyFill="1" applyBorder="1" applyAlignment="1" applyProtection="1">
      <alignment vertical="center"/>
      <protection/>
    </xf>
    <xf numFmtId="0" fontId="0" fillId="0" borderId="79" xfId="70" applyFill="1" applyBorder="1" applyAlignment="1" applyProtection="1">
      <alignment vertical="center"/>
      <protection/>
    </xf>
    <xf numFmtId="0" fontId="5" fillId="0" borderId="0" xfId="70" applyFont="1" applyFill="1" applyBorder="1" applyAlignment="1" applyProtection="1">
      <alignment horizontal="right" vertical="center"/>
      <protection/>
    </xf>
    <xf numFmtId="0" fontId="0" fillId="0" borderId="80" xfId="70" applyFill="1" applyBorder="1" applyAlignment="1" applyProtection="1">
      <alignment vertical="center"/>
      <protection/>
    </xf>
    <xf numFmtId="0" fontId="0" fillId="0" borderId="0" xfId="70" applyFill="1" applyAlignment="1" applyProtection="1">
      <alignment vertical="center"/>
      <protection/>
    </xf>
    <xf numFmtId="0" fontId="7" fillId="0" borderId="0" xfId="70" applyFont="1" applyFill="1" applyBorder="1" applyAlignment="1" applyProtection="1">
      <alignment horizontal="right" vertical="center"/>
      <protection/>
    </xf>
    <xf numFmtId="0" fontId="0" fillId="0" borderId="0" xfId="70" applyFill="1" applyAlignment="1" applyProtection="1">
      <alignment horizontal="center" vertical="center"/>
      <protection/>
    </xf>
    <xf numFmtId="0" fontId="0" fillId="0" borderId="0" xfId="70" applyFill="1" applyBorder="1" applyAlignment="1" applyProtection="1">
      <alignment horizontal="left" vertical="center"/>
      <protection/>
    </xf>
    <xf numFmtId="0" fontId="9" fillId="0" borderId="0" xfId="70" applyFont="1" applyFill="1" applyBorder="1" applyAlignment="1" applyProtection="1">
      <alignment horizontal="right"/>
      <protection/>
    </xf>
    <xf numFmtId="0" fontId="9" fillId="0" borderId="0" xfId="70" applyFont="1" applyFill="1" applyBorder="1" applyAlignment="1" applyProtection="1">
      <alignment horizontal="right" vertical="center"/>
      <protection/>
    </xf>
    <xf numFmtId="0" fontId="0" fillId="0" borderId="81" xfId="70" applyFill="1" applyBorder="1" applyAlignment="1" applyProtection="1">
      <alignment vertical="center"/>
      <protection/>
    </xf>
    <xf numFmtId="0" fontId="0" fillId="0" borderId="82" xfId="70" applyFill="1" applyBorder="1" applyAlignment="1" applyProtection="1">
      <alignment vertical="center"/>
      <protection/>
    </xf>
    <xf numFmtId="0" fontId="0" fillId="0" borderId="83" xfId="70" applyFill="1" applyBorder="1" applyAlignment="1" applyProtection="1">
      <alignment vertical="center"/>
      <protection/>
    </xf>
    <xf numFmtId="0" fontId="0" fillId="0" borderId="73" xfId="70" applyFill="1" applyBorder="1" applyAlignment="1" applyProtection="1">
      <alignment vertical="center"/>
      <protection/>
    </xf>
    <xf numFmtId="0" fontId="5" fillId="0" borderId="0" xfId="70" applyFont="1" applyFill="1" applyBorder="1" applyAlignment="1" applyProtection="1">
      <alignment vertical="center"/>
      <protection/>
    </xf>
    <xf numFmtId="0" fontId="10" fillId="0" borderId="0" xfId="70" applyFont="1" applyFill="1" applyBorder="1" applyAlignment="1" applyProtection="1">
      <alignment vertical="center"/>
      <protection/>
    </xf>
    <xf numFmtId="0" fontId="2" fillId="0" borderId="0" xfId="70" applyFont="1" applyFill="1" applyBorder="1" applyAlignment="1" applyProtection="1">
      <alignment vertical="center"/>
      <protection/>
    </xf>
    <xf numFmtId="0" fontId="0" fillId="0" borderId="84" xfId="70" applyFill="1" applyBorder="1" applyAlignment="1" applyProtection="1">
      <alignment vertical="center"/>
      <protection/>
    </xf>
    <xf numFmtId="0" fontId="33" fillId="0" borderId="8" xfId="70" applyFont="1" applyFill="1" applyBorder="1" applyAlignment="1" applyProtection="1">
      <alignment horizontal="center" vertical="center"/>
      <protection locked="0"/>
    </xf>
    <xf numFmtId="0" fontId="0" fillId="0" borderId="0" xfId="70" applyFont="1" applyFill="1" applyBorder="1" applyAlignment="1" applyProtection="1">
      <alignment vertical="center"/>
      <protection/>
    </xf>
    <xf numFmtId="0" fontId="2" fillId="0" borderId="4" xfId="70" applyFont="1" applyFill="1" applyBorder="1" applyAlignment="1" applyProtection="1">
      <alignment horizontal="center" vertical="center"/>
      <protection/>
    </xf>
    <xf numFmtId="0" fontId="0" fillId="0" borderId="0" xfId="70" applyFont="1" applyFill="1" applyAlignment="1" applyProtection="1">
      <alignment vertical="center"/>
      <protection/>
    </xf>
    <xf numFmtId="0" fontId="12" fillId="0" borderId="0" xfId="70" applyFont="1" applyFill="1" applyBorder="1" applyAlignment="1" applyProtection="1">
      <alignment vertical="center"/>
      <protection/>
    </xf>
    <xf numFmtId="0" fontId="7" fillId="0" borderId="0" xfId="70" applyFont="1" applyFill="1" applyBorder="1" applyAlignment="1" applyProtection="1">
      <alignment vertical="center"/>
      <protection/>
    </xf>
    <xf numFmtId="0" fontId="14" fillId="0" borderId="0" xfId="70" applyFont="1" applyFill="1" applyBorder="1" applyAlignment="1" applyProtection="1">
      <alignment horizontal="center" vertical="center"/>
      <protection/>
    </xf>
    <xf numFmtId="0" fontId="14" fillId="0" borderId="0" xfId="70" applyFont="1" applyFill="1" applyBorder="1" applyAlignment="1" applyProtection="1">
      <alignment horizontal="center" vertical="center" wrapText="1"/>
      <protection/>
    </xf>
    <xf numFmtId="0" fontId="16" fillId="0" borderId="0" xfId="70" applyFont="1" applyFill="1" applyBorder="1" applyAlignment="1" applyProtection="1">
      <alignment horizontal="center" vertical="center"/>
      <protection/>
    </xf>
    <xf numFmtId="0" fontId="8" fillId="0" borderId="0" xfId="70" applyFont="1" applyFill="1" applyAlignment="1" applyProtection="1">
      <alignment horizontal="center" vertical="center" wrapText="1"/>
      <protection/>
    </xf>
    <xf numFmtId="0" fontId="0" fillId="0" borderId="33" xfId="70" applyFill="1" applyBorder="1" applyAlignment="1" applyProtection="1">
      <alignment vertical="center"/>
      <protection/>
    </xf>
    <xf numFmtId="0" fontId="0" fillId="0" borderId="0" xfId="70" applyFont="1" applyFill="1" applyAlignment="1" applyProtection="1">
      <alignment horizontal="center" vertical="center"/>
      <protection/>
    </xf>
    <xf numFmtId="0" fontId="8" fillId="0" borderId="0" xfId="70" applyFont="1" applyFill="1" applyAlignment="1" applyProtection="1">
      <alignment vertical="center"/>
      <protection/>
    </xf>
    <xf numFmtId="0" fontId="0" fillId="0" borderId="0" xfId="70" applyFill="1" applyBorder="1" applyAlignment="1" applyProtection="1">
      <alignment horizontal="center" vertical="center"/>
      <protection/>
    </xf>
    <xf numFmtId="0" fontId="0" fillId="0" borderId="0" xfId="70" applyNumberFormat="1" applyFill="1" applyBorder="1" applyAlignment="1" applyProtection="1">
      <alignment horizontal="center" vertical="center"/>
      <protection/>
    </xf>
    <xf numFmtId="2" fontId="0" fillId="0" borderId="0" xfId="70" applyNumberFormat="1" applyFill="1" applyBorder="1" applyAlignment="1" applyProtection="1">
      <alignment horizontal="center" vertical="center"/>
      <protection/>
    </xf>
    <xf numFmtId="9" fontId="0" fillId="0" borderId="8" xfId="70" applyNumberFormat="1" applyFill="1" applyBorder="1" applyAlignment="1" applyProtection="1">
      <alignment horizontal="center" vertical="center"/>
      <protection locked="0"/>
    </xf>
    <xf numFmtId="2" fontId="0" fillId="0" borderId="8" xfId="70" applyNumberFormat="1" applyFill="1" applyBorder="1" applyAlignment="1" applyProtection="1">
      <alignment horizontal="center" vertical="center"/>
      <protection locked="0"/>
    </xf>
    <xf numFmtId="39" fontId="8" fillId="0" borderId="0" xfId="70" applyNumberFormat="1" applyFont="1" applyFill="1" applyBorder="1" applyAlignment="1" applyProtection="1">
      <alignment horizontal="center" vertical="center"/>
      <protection/>
    </xf>
    <xf numFmtId="167" fontId="8" fillId="0" borderId="0" xfId="70" applyNumberFormat="1" applyFont="1" applyFill="1" applyAlignment="1" applyProtection="1">
      <alignment horizontal="center" vertical="center"/>
      <protection/>
    </xf>
    <xf numFmtId="0" fontId="0" fillId="0" borderId="32" xfId="70" applyFill="1" applyBorder="1" applyProtection="1">
      <alignment/>
      <protection/>
    </xf>
    <xf numFmtId="2" fontId="0" fillId="0" borderId="0" xfId="70" applyNumberFormat="1" applyFill="1" applyAlignment="1" applyProtection="1">
      <alignment horizontal="center"/>
      <protection/>
    </xf>
    <xf numFmtId="0" fontId="0" fillId="0" borderId="0" xfId="70" applyFont="1" applyFill="1" applyProtection="1">
      <alignment/>
      <protection/>
    </xf>
    <xf numFmtId="9" fontId="0" fillId="0" borderId="0" xfId="70" applyNumberFormat="1" applyFill="1" applyBorder="1" applyAlignment="1" applyProtection="1">
      <alignment horizontal="center" vertical="center"/>
      <protection/>
    </xf>
    <xf numFmtId="39" fontId="41" fillId="0" borderId="0" xfId="70" applyNumberFormat="1" applyFont="1" applyFill="1" applyBorder="1" applyAlignment="1" applyProtection="1">
      <alignment horizontal="right" vertical="center"/>
      <protection/>
    </xf>
    <xf numFmtId="0" fontId="0" fillId="0" borderId="8" xfId="70" applyFont="1" applyFill="1" applyBorder="1" applyAlignment="1" applyProtection="1">
      <alignment horizontal="center" vertical="center"/>
      <protection locked="0"/>
    </xf>
    <xf numFmtId="0" fontId="0" fillId="0" borderId="8" xfId="70" applyNumberFormat="1" applyFill="1" applyBorder="1" applyAlignment="1" applyProtection="1">
      <alignment horizontal="center" vertical="center"/>
      <protection locked="0"/>
    </xf>
    <xf numFmtId="0" fontId="12" fillId="0" borderId="85" xfId="70" applyFont="1" applyFill="1" applyBorder="1" applyAlignment="1" applyProtection="1">
      <alignment vertical="center"/>
      <protection/>
    </xf>
    <xf numFmtId="0" fontId="7" fillId="0" borderId="85" xfId="70" applyFont="1" applyFill="1" applyBorder="1" applyAlignment="1" applyProtection="1">
      <alignment vertical="center"/>
      <protection/>
    </xf>
    <xf numFmtId="0" fontId="0" fillId="0" borderId="85" xfId="70" applyFill="1" applyBorder="1" applyAlignment="1" applyProtection="1">
      <alignment vertical="center"/>
      <protection/>
    </xf>
    <xf numFmtId="0" fontId="0" fillId="0" borderId="86" xfId="70" applyFill="1" applyBorder="1" applyAlignment="1" applyProtection="1">
      <alignment vertical="center"/>
      <protection/>
    </xf>
    <xf numFmtId="167" fontId="0" fillId="0" borderId="86" xfId="70" applyNumberFormat="1" applyFill="1" applyBorder="1" applyAlignment="1" applyProtection="1">
      <alignment horizontal="center" vertical="center"/>
      <protection/>
    </xf>
    <xf numFmtId="0" fontId="14" fillId="0" borderId="0" xfId="70" applyFont="1" applyFill="1" applyBorder="1" applyAlignment="1" applyProtection="1">
      <alignment horizontal="left" vertical="center"/>
      <protection/>
    </xf>
    <xf numFmtId="0" fontId="14" fillId="0" borderId="0" xfId="70" applyFont="1" applyFill="1" applyBorder="1" applyAlignment="1" applyProtection="1">
      <alignment horizontal="left" vertical="center" wrapText="1"/>
      <protection/>
    </xf>
    <xf numFmtId="0" fontId="16" fillId="0" borderId="0" xfId="70" applyFont="1" applyFill="1" applyBorder="1" applyAlignment="1" applyProtection="1">
      <alignment horizontal="left" vertical="center"/>
      <protection/>
    </xf>
    <xf numFmtId="0" fontId="14" fillId="0" borderId="0" xfId="70" applyFont="1" applyFill="1" applyBorder="1" applyAlignment="1" applyProtection="1">
      <alignment horizontal="right" vertical="center" wrapText="1"/>
      <protection/>
    </xf>
    <xf numFmtId="0" fontId="0" fillId="0" borderId="87" xfId="70" applyFill="1" applyBorder="1" applyAlignment="1" applyProtection="1">
      <alignment vertical="center"/>
      <protection/>
    </xf>
    <xf numFmtId="0" fontId="0" fillId="0" borderId="8" xfId="70" applyFont="1" applyFill="1" applyBorder="1" applyAlignment="1" applyProtection="1">
      <alignment horizontal="center" vertical="center"/>
      <protection/>
    </xf>
    <xf numFmtId="0" fontId="21" fillId="0" borderId="0" xfId="70" applyFont="1" applyFill="1" applyBorder="1" applyAlignment="1" applyProtection="1">
      <alignment horizontal="left" vertical="center"/>
      <protection/>
    </xf>
    <xf numFmtId="9" fontId="0" fillId="0" borderId="8" xfId="70" applyNumberFormat="1" applyFill="1" applyBorder="1" applyAlignment="1" applyProtection="1">
      <alignment horizontal="center" vertical="center"/>
      <protection/>
    </xf>
    <xf numFmtId="2" fontId="0" fillId="0" borderId="8" xfId="70" applyNumberFormat="1" applyFill="1" applyBorder="1" applyAlignment="1" applyProtection="1">
      <alignment horizontal="center" vertical="center"/>
      <protection/>
    </xf>
    <xf numFmtId="0" fontId="0" fillId="0" borderId="20" xfId="70" applyFill="1" applyBorder="1" applyProtection="1">
      <alignment/>
      <protection/>
    </xf>
    <xf numFmtId="39" fontId="41" fillId="0" borderId="0" xfId="70" applyNumberFormat="1" applyFont="1" applyFill="1" applyBorder="1" applyAlignment="1" applyProtection="1">
      <alignment vertical="center"/>
      <protection/>
    </xf>
    <xf numFmtId="0" fontId="19" fillId="0" borderId="0" xfId="70" applyFont="1" applyFill="1" applyBorder="1" applyAlignment="1" applyProtection="1">
      <alignment vertical="center"/>
      <protection/>
    </xf>
    <xf numFmtId="39" fontId="5" fillId="0" borderId="0" xfId="70" applyNumberFormat="1" applyFont="1" applyFill="1" applyBorder="1" applyAlignment="1" applyProtection="1">
      <alignment horizontal="center" vertical="center"/>
      <protection/>
    </xf>
    <xf numFmtId="5" fontId="5" fillId="0" borderId="0" xfId="70" applyNumberFormat="1" applyFont="1" applyFill="1" applyBorder="1" applyAlignment="1" applyProtection="1">
      <alignment horizontal="center" vertical="center"/>
      <protection/>
    </xf>
    <xf numFmtId="0" fontId="10" fillId="0" borderId="0" xfId="70" applyFont="1" applyFill="1" applyBorder="1" applyAlignment="1" applyProtection="1">
      <alignment horizontal="left" vertical="center" wrapText="1"/>
      <protection/>
    </xf>
    <xf numFmtId="0" fontId="0" fillId="0" borderId="88" xfId="70" applyFill="1" applyBorder="1" applyAlignment="1" applyProtection="1">
      <alignment vertical="center"/>
      <protection/>
    </xf>
    <xf numFmtId="0" fontId="0" fillId="0" borderId="89" xfId="70" applyFill="1" applyBorder="1" applyAlignment="1" applyProtection="1">
      <alignment vertical="center"/>
      <protection/>
    </xf>
    <xf numFmtId="0" fontId="10" fillId="0" borderId="82" xfId="70" applyFont="1" applyFill="1" applyBorder="1" applyAlignment="1" applyProtection="1">
      <alignment horizontal="left" vertical="center" wrapText="1"/>
      <protection/>
    </xf>
    <xf numFmtId="0" fontId="5" fillId="0" borderId="85" xfId="70" applyFont="1" applyFill="1" applyBorder="1" applyAlignment="1" applyProtection="1">
      <alignment vertical="center"/>
      <protection/>
    </xf>
    <xf numFmtId="0" fontId="16" fillId="0" borderId="0" xfId="70" applyFont="1" applyFill="1" applyBorder="1" applyAlignment="1" applyProtection="1">
      <alignment vertical="center"/>
      <protection/>
    </xf>
    <xf numFmtId="0" fontId="14" fillId="0" borderId="45" xfId="70" applyFont="1" applyFill="1" applyBorder="1" applyAlignment="1" applyProtection="1">
      <alignment horizontal="center" vertical="center" wrapText="1"/>
      <protection/>
    </xf>
    <xf numFmtId="3" fontId="0" fillId="0" borderId="35" xfId="70" applyNumberFormat="1" applyFill="1" applyBorder="1" applyAlignment="1" applyProtection="1">
      <alignment horizontal="center" vertical="center"/>
      <protection locked="0"/>
    </xf>
    <xf numFmtId="3" fontId="0" fillId="0" borderId="73" xfId="70" applyNumberFormat="1" applyFill="1" applyBorder="1" applyAlignment="1" applyProtection="1">
      <alignment vertical="center"/>
      <protection/>
    </xf>
    <xf numFmtId="0" fontId="0" fillId="0" borderId="8" xfId="70" applyFill="1" applyBorder="1" applyAlignment="1" applyProtection="1">
      <alignment horizontal="center" vertical="center"/>
      <protection locked="0"/>
    </xf>
    <xf numFmtId="167" fontId="0" fillId="0" borderId="0" xfId="70" applyNumberFormat="1" applyFill="1" applyBorder="1" applyAlignment="1" applyProtection="1">
      <alignment horizontal="center" vertical="center"/>
      <protection/>
    </xf>
    <xf numFmtId="167" fontId="0" fillId="0" borderId="8" xfId="70" applyNumberFormat="1" applyFill="1" applyBorder="1" applyAlignment="1" applyProtection="1">
      <alignment horizontal="center" vertical="center"/>
      <protection locked="0"/>
    </xf>
    <xf numFmtId="0" fontId="0" fillId="0" borderId="0" xfId="70" applyFill="1" applyBorder="1" applyAlignment="1" applyProtection="1">
      <alignment/>
      <protection/>
    </xf>
    <xf numFmtId="0" fontId="0" fillId="0" borderId="0" xfId="70" applyFill="1" applyBorder="1" applyProtection="1">
      <alignment/>
      <protection/>
    </xf>
    <xf numFmtId="3" fontId="0" fillId="0" borderId="0" xfId="70" applyNumberFormat="1" applyFill="1" applyBorder="1" applyAlignment="1" applyProtection="1">
      <alignment horizontal="center" vertical="center"/>
      <protection/>
    </xf>
    <xf numFmtId="3" fontId="0" fillId="0" borderId="0" xfId="70" applyNumberFormat="1" applyFill="1" applyBorder="1" applyAlignment="1" applyProtection="1">
      <alignment vertical="center"/>
      <protection/>
    </xf>
    <xf numFmtId="5" fontId="7" fillId="0" borderId="0" xfId="70" applyNumberFormat="1" applyFont="1" applyFill="1" applyBorder="1" applyAlignment="1" applyProtection="1">
      <alignment horizontal="center" vertical="center"/>
      <protection/>
    </xf>
    <xf numFmtId="167" fontId="7" fillId="0" borderId="0" xfId="70" applyNumberFormat="1" applyFont="1" applyFill="1" applyBorder="1" applyAlignment="1" applyProtection="1">
      <alignment horizontal="center" vertical="center"/>
      <protection/>
    </xf>
    <xf numFmtId="0" fontId="16" fillId="0" borderId="85" xfId="70" applyFont="1" applyFill="1" applyBorder="1" applyAlignment="1" applyProtection="1">
      <alignment vertical="center"/>
      <protection/>
    </xf>
    <xf numFmtId="0" fontId="2" fillId="0" borderId="85" xfId="70" applyFont="1" applyFill="1" applyBorder="1" applyAlignment="1" applyProtection="1">
      <alignment vertical="center"/>
      <protection/>
    </xf>
    <xf numFmtId="0" fontId="0" fillId="0" borderId="85" xfId="70" applyFill="1" applyBorder="1" applyAlignment="1" applyProtection="1">
      <alignment horizontal="center" vertical="center"/>
      <protection/>
    </xf>
    <xf numFmtId="3" fontId="0" fillId="0" borderId="85" xfId="70" applyNumberFormat="1" applyFill="1" applyBorder="1" applyAlignment="1" applyProtection="1">
      <alignment horizontal="center" vertical="center"/>
      <protection/>
    </xf>
    <xf numFmtId="0" fontId="20" fillId="0" borderId="85" xfId="70" applyFont="1" applyFill="1" applyBorder="1" applyAlignment="1" applyProtection="1">
      <alignment horizontal="right" vertical="center"/>
      <protection/>
    </xf>
    <xf numFmtId="167" fontId="20" fillId="0" borderId="85" xfId="70" applyNumberFormat="1" applyFont="1" applyFill="1" applyBorder="1" applyAlignment="1" applyProtection="1">
      <alignment horizontal="center" vertical="center"/>
      <protection/>
    </xf>
    <xf numFmtId="5" fontId="20" fillId="0" borderId="0" xfId="70" applyNumberFormat="1" applyFont="1" applyFill="1" applyBorder="1" applyAlignment="1" applyProtection="1">
      <alignment horizontal="center" vertical="center"/>
      <protection/>
    </xf>
    <xf numFmtId="0" fontId="14" fillId="0" borderId="0" xfId="70" applyFont="1" applyFill="1" applyBorder="1" applyAlignment="1" applyProtection="1">
      <alignment vertical="center"/>
      <protection/>
    </xf>
    <xf numFmtId="167" fontId="8" fillId="0" borderId="0" xfId="70" applyNumberFormat="1" applyFont="1" applyFill="1" applyBorder="1" applyAlignment="1" applyProtection="1">
      <alignment horizontal="center" vertical="center"/>
      <protection/>
    </xf>
    <xf numFmtId="0" fontId="5" fillId="0" borderId="85" xfId="70" applyFont="1" applyFill="1" applyBorder="1" applyAlignment="1" applyProtection="1">
      <alignment horizontal="left" vertical="center"/>
      <protection/>
    </xf>
    <xf numFmtId="0" fontId="14" fillId="0" borderId="85" xfId="70" applyFont="1" applyFill="1" applyBorder="1" applyAlignment="1" applyProtection="1">
      <alignment vertical="center"/>
      <protection/>
    </xf>
    <xf numFmtId="0" fontId="0" fillId="0" borderId="0" xfId="70" applyFill="1" applyAlignment="1" applyProtection="1">
      <alignment/>
      <protection/>
    </xf>
    <xf numFmtId="6" fontId="5" fillId="0" borderId="0" xfId="70" applyNumberFormat="1" applyFont="1" applyFill="1" applyBorder="1" applyAlignment="1" applyProtection="1">
      <alignment horizontal="center"/>
      <protection/>
    </xf>
    <xf numFmtId="37" fontId="7" fillId="0" borderId="0" xfId="70" applyNumberFormat="1" applyFont="1" applyFill="1" applyBorder="1" applyAlignment="1" applyProtection="1">
      <alignment vertical="center"/>
      <protection/>
    </xf>
    <xf numFmtId="6" fontId="7" fillId="0" borderId="0" xfId="70" applyNumberFormat="1" applyFont="1" applyFill="1" applyAlignment="1" applyProtection="1">
      <alignment horizontal="center"/>
      <protection/>
    </xf>
    <xf numFmtId="0" fontId="0" fillId="0" borderId="45" xfId="70" applyFill="1" applyBorder="1" applyAlignment="1" applyProtection="1">
      <alignment vertical="center"/>
      <protection/>
    </xf>
    <xf numFmtId="0" fontId="7" fillId="0" borderId="45" xfId="70" applyFont="1" applyFill="1" applyBorder="1" applyAlignment="1" applyProtection="1">
      <alignment horizontal="right" vertical="center"/>
      <protection/>
    </xf>
    <xf numFmtId="39" fontId="7" fillId="0" borderId="45" xfId="70" applyNumberFormat="1" applyFont="1" applyFill="1" applyBorder="1" applyAlignment="1" applyProtection="1">
      <alignment horizontal="center" vertical="center"/>
      <protection/>
    </xf>
    <xf numFmtId="39" fontId="7" fillId="0" borderId="0" xfId="70" applyNumberFormat="1" applyFont="1" applyFill="1" applyBorder="1" applyAlignment="1" applyProtection="1">
      <alignment horizontal="center" vertical="center"/>
      <protection/>
    </xf>
    <xf numFmtId="0" fontId="0" fillId="0" borderId="56" xfId="70" applyFill="1" applyBorder="1" applyAlignment="1" applyProtection="1">
      <alignment vertical="center"/>
      <protection/>
    </xf>
    <xf numFmtId="0" fontId="0" fillId="0" borderId="57" xfId="70" applyFill="1" applyBorder="1" applyAlignment="1" applyProtection="1">
      <alignment vertical="center"/>
      <protection/>
    </xf>
    <xf numFmtId="0" fontId="7" fillId="0" borderId="57" xfId="70" applyFont="1" applyFill="1" applyBorder="1" applyAlignment="1" applyProtection="1">
      <alignment horizontal="right" vertical="center"/>
      <protection/>
    </xf>
    <xf numFmtId="39" fontId="7" fillId="0" borderId="57" xfId="70" applyNumberFormat="1" applyFont="1" applyFill="1" applyBorder="1" applyAlignment="1" applyProtection="1">
      <alignment vertical="center"/>
      <protection/>
    </xf>
    <xf numFmtId="0" fontId="0" fillId="0" borderId="90" xfId="70" applyFill="1" applyBorder="1" applyAlignment="1" applyProtection="1">
      <alignment vertical="center"/>
      <protection/>
    </xf>
    <xf numFmtId="0" fontId="0" fillId="0" borderId="47" xfId="70" applyFill="1" applyBorder="1" applyAlignment="1" applyProtection="1">
      <alignment vertical="center"/>
      <protection/>
    </xf>
    <xf numFmtId="0" fontId="0" fillId="0" borderId="91" xfId="70" applyFill="1" applyBorder="1" applyAlignment="1" applyProtection="1">
      <alignment vertical="center"/>
      <protection/>
    </xf>
    <xf numFmtId="0" fontId="8" fillId="0" borderId="0" xfId="70" applyFont="1" applyFill="1" applyBorder="1" applyAlignment="1" applyProtection="1">
      <alignment vertical="center"/>
      <protection/>
    </xf>
    <xf numFmtId="0" fontId="8" fillId="0" borderId="0" xfId="70" applyFont="1" applyFill="1" applyBorder="1" applyAlignment="1" applyProtection="1">
      <alignment horizontal="center" vertical="center"/>
      <protection/>
    </xf>
    <xf numFmtId="0" fontId="8" fillId="0" borderId="0" xfId="70" applyFont="1" applyFill="1" applyBorder="1" applyAlignment="1" applyProtection="1">
      <alignment horizontal="right" vertical="center"/>
      <protection/>
    </xf>
    <xf numFmtId="10" fontId="14" fillId="0" borderId="0" xfId="70" applyNumberFormat="1" applyFont="1" applyFill="1" applyBorder="1" applyAlignment="1" applyProtection="1">
      <alignment horizontal="center" vertical="center"/>
      <protection/>
    </xf>
    <xf numFmtId="44" fontId="0" fillId="0" borderId="0" xfId="70" applyNumberFormat="1" applyFill="1" applyBorder="1" applyAlignment="1" applyProtection="1">
      <alignment vertical="center"/>
      <protection/>
    </xf>
    <xf numFmtId="39" fontId="0" fillId="0" borderId="0" xfId="70" applyNumberFormat="1" applyFill="1" applyBorder="1" applyAlignment="1" applyProtection="1">
      <alignment horizontal="center" vertical="center"/>
      <protection/>
    </xf>
    <xf numFmtId="0" fontId="0" fillId="0" borderId="91" xfId="70" applyFill="1" applyBorder="1" applyProtection="1">
      <alignment/>
      <protection/>
    </xf>
    <xf numFmtId="0" fontId="0" fillId="0" borderId="79" xfId="70" applyFill="1" applyBorder="1" applyProtection="1">
      <alignment/>
      <protection/>
    </xf>
    <xf numFmtId="0" fontId="0" fillId="0" borderId="0" xfId="70" applyFont="1" applyFill="1" applyBorder="1" applyAlignment="1" applyProtection="1">
      <alignment horizontal="left" vertical="top" wrapText="1"/>
      <protection/>
    </xf>
    <xf numFmtId="0" fontId="0" fillId="0" borderId="92" xfId="70" applyFill="1" applyBorder="1" applyAlignment="1" applyProtection="1">
      <alignment vertical="center"/>
      <protection/>
    </xf>
    <xf numFmtId="0" fontId="0" fillId="0" borderId="46" xfId="70" applyFont="1" applyFill="1" applyBorder="1" applyAlignment="1" applyProtection="1">
      <alignment horizontal="left" vertical="top" wrapText="1"/>
      <protection/>
    </xf>
    <xf numFmtId="0" fontId="0" fillId="0" borderId="93" xfId="70" applyFill="1" applyBorder="1" applyProtection="1">
      <alignment/>
      <protection/>
    </xf>
    <xf numFmtId="0" fontId="18" fillId="0" borderId="0" xfId="70" applyFont="1" applyFill="1" applyBorder="1" applyAlignment="1" applyProtection="1">
      <alignment vertical="center"/>
      <protection/>
    </xf>
    <xf numFmtId="0" fontId="0" fillId="0" borderId="94" xfId="70" applyFill="1" applyBorder="1" applyAlignment="1" applyProtection="1">
      <alignment vertical="center"/>
      <protection/>
    </xf>
    <xf numFmtId="0" fontId="0" fillId="0" borderId="95" xfId="70" applyFill="1" applyBorder="1" applyAlignment="1" applyProtection="1">
      <alignment vertical="center"/>
      <protection/>
    </xf>
    <xf numFmtId="0" fontId="0" fillId="0" borderId="95" xfId="70" applyFill="1" applyBorder="1" applyAlignment="1" applyProtection="1">
      <alignment horizontal="center" vertical="center"/>
      <protection/>
    </xf>
    <xf numFmtId="44" fontId="0" fillId="0" borderId="95" xfId="70" applyNumberFormat="1" applyFill="1" applyBorder="1" applyAlignment="1" applyProtection="1">
      <alignment vertical="center"/>
      <protection/>
    </xf>
    <xf numFmtId="0" fontId="0" fillId="0" borderId="95" xfId="70" applyFill="1" applyBorder="1" applyProtection="1">
      <alignment/>
      <protection/>
    </xf>
    <xf numFmtId="0" fontId="0" fillId="0" borderId="96" xfId="70" applyFill="1" applyBorder="1" applyProtection="1">
      <alignment/>
      <protection/>
    </xf>
    <xf numFmtId="0" fontId="8" fillId="0" borderId="0" xfId="70" applyFont="1" applyFill="1" applyProtection="1">
      <alignment/>
      <protection/>
    </xf>
    <xf numFmtId="0" fontId="8" fillId="0" borderId="0" xfId="70" applyFont="1" applyFill="1" applyAlignment="1" applyProtection="1">
      <alignment horizontal="left" wrapText="1"/>
      <protection/>
    </xf>
    <xf numFmtId="0" fontId="8" fillId="0" borderId="0" xfId="70" applyFont="1" applyFill="1" applyAlignment="1" applyProtection="1">
      <alignment horizontal="center" wrapText="1"/>
      <protection/>
    </xf>
    <xf numFmtId="9" fontId="0" fillId="0" borderId="0" xfId="70" applyNumberFormat="1" applyFont="1" applyFill="1" applyAlignment="1" applyProtection="1">
      <alignment vertical="center"/>
      <protection/>
    </xf>
    <xf numFmtId="2" fontId="0" fillId="0" borderId="0" xfId="70" applyNumberFormat="1" applyFont="1" applyFill="1" applyAlignment="1" applyProtection="1">
      <alignment vertical="center"/>
      <protection/>
    </xf>
    <xf numFmtId="2" fontId="0" fillId="0" borderId="0" xfId="70" applyNumberFormat="1" applyFont="1" applyFill="1" applyAlignment="1" applyProtection="1">
      <alignment horizontal="center" vertical="center"/>
      <protection/>
    </xf>
    <xf numFmtId="0" fontId="36" fillId="0" borderId="49" xfId="0" applyFont="1" applyFill="1" applyBorder="1" applyAlignment="1">
      <alignment horizontal="center"/>
    </xf>
    <xf numFmtId="2" fontId="0" fillId="0" borderId="0" xfId="70" applyNumberFormat="1" applyFill="1" applyProtection="1">
      <alignment/>
      <protection/>
    </xf>
    <xf numFmtId="10" fontId="0" fillId="0" borderId="0" xfId="70" applyNumberFormat="1" applyFill="1" applyAlignment="1" applyProtection="1">
      <alignment vertical="center"/>
      <protection/>
    </xf>
    <xf numFmtId="39" fontId="0" fillId="0" borderId="0" xfId="70" applyNumberFormat="1" applyFill="1" applyProtection="1">
      <alignment/>
      <protection/>
    </xf>
    <xf numFmtId="0" fontId="36" fillId="0" borderId="50" xfId="0" applyFont="1" applyFill="1" applyBorder="1" applyAlignment="1">
      <alignment horizontal="center"/>
    </xf>
    <xf numFmtId="0" fontId="0" fillId="0" borderId="0" xfId="70" applyNumberFormat="1" applyFont="1" applyFill="1" applyProtection="1">
      <alignment/>
      <protection/>
    </xf>
    <xf numFmtId="9" fontId="0" fillId="0" borderId="0" xfId="70" applyNumberFormat="1" applyFont="1" applyFill="1" applyAlignment="1" applyProtection="1">
      <alignment horizontal="center" vertical="center"/>
      <protection/>
    </xf>
    <xf numFmtId="0" fontId="0" fillId="0" borderId="8" xfId="43" applyNumberFormat="1" applyFont="1" applyFill="1" applyBorder="1" applyAlignment="1" applyProtection="1">
      <alignment horizontal="center" vertical="center"/>
      <protection locked="0"/>
    </xf>
    <xf numFmtId="0" fontId="10" fillId="0" borderId="0" xfId="70" applyFont="1" applyFill="1" applyBorder="1" applyAlignment="1" applyProtection="1">
      <alignment horizontal="center" vertical="center" wrapText="1"/>
      <protection/>
    </xf>
    <xf numFmtId="0" fontId="77" fillId="0" borderId="0" xfId="70" applyFont="1" applyFill="1" applyBorder="1" applyAlignment="1" applyProtection="1">
      <alignment horizontal="center" vertical="center"/>
      <protection/>
    </xf>
    <xf numFmtId="9" fontId="8" fillId="0" borderId="0" xfId="70" applyNumberFormat="1" applyFont="1" applyFill="1" applyBorder="1" applyAlignment="1" applyProtection="1">
      <alignment horizontal="center" vertical="center"/>
      <protection/>
    </xf>
    <xf numFmtId="0" fontId="10" fillId="0" borderId="0" xfId="70" applyFont="1" applyFill="1" applyBorder="1" applyAlignment="1" applyProtection="1">
      <alignment horizontal="right" vertical="center"/>
      <protection/>
    </xf>
    <xf numFmtId="1" fontId="77" fillId="0" borderId="0" xfId="70" applyNumberFormat="1" applyFont="1" applyFill="1" applyBorder="1" applyAlignment="1" applyProtection="1">
      <alignment horizontal="center" vertical="center"/>
      <protection/>
    </xf>
    <xf numFmtId="0" fontId="3" fillId="0" borderId="80" xfId="70" applyFont="1" applyFill="1" applyBorder="1" applyAlignment="1" applyProtection="1">
      <alignment horizontal="right" vertical="center"/>
      <protection/>
    </xf>
    <xf numFmtId="0" fontId="3" fillId="0" borderId="0" xfId="70" applyFont="1" applyFill="1" applyBorder="1" applyAlignment="1" applyProtection="1">
      <alignment horizontal="right" vertical="center"/>
      <protection/>
    </xf>
    <xf numFmtId="0" fontId="4" fillId="0" borderId="0" xfId="70" applyFont="1" applyFill="1" applyBorder="1" applyAlignment="1" applyProtection="1">
      <alignment horizontal="right" vertical="center"/>
      <protection/>
    </xf>
    <xf numFmtId="0" fontId="5" fillId="0" borderId="80" xfId="70" applyFont="1" applyFill="1" applyBorder="1" applyAlignment="1" applyProtection="1">
      <alignment horizontal="right" vertical="center"/>
      <protection/>
    </xf>
    <xf numFmtId="0" fontId="5" fillId="0" borderId="0" xfId="70" applyFont="1" applyFill="1" applyBorder="1" applyAlignment="1" applyProtection="1">
      <alignment horizontal="right" vertical="center"/>
      <protection/>
    </xf>
    <xf numFmtId="0" fontId="6" fillId="0" borderId="80" xfId="70" applyFont="1" applyFill="1" applyBorder="1" applyAlignment="1" applyProtection="1">
      <alignment horizontal="right" vertical="center"/>
      <protection/>
    </xf>
    <xf numFmtId="0" fontId="6" fillId="0" borderId="0" xfId="70" applyFont="1" applyFill="1" applyBorder="1" applyAlignment="1" applyProtection="1">
      <alignment horizontal="right" vertical="center"/>
      <protection/>
    </xf>
    <xf numFmtId="0" fontId="7" fillId="0" borderId="0" xfId="70" applyFont="1" applyFill="1" applyBorder="1" applyAlignment="1" applyProtection="1">
      <alignment horizontal="right" vertical="center"/>
      <protection/>
    </xf>
    <xf numFmtId="0" fontId="8" fillId="0" borderId="45" xfId="70" applyFont="1" applyFill="1" applyBorder="1" applyAlignment="1" applyProtection="1">
      <alignment horizontal="left" vertical="center"/>
      <protection locked="0"/>
    </xf>
    <xf numFmtId="0" fontId="8" fillId="0" borderId="4" xfId="70" applyFont="1" applyFill="1" applyBorder="1" applyAlignment="1" applyProtection="1">
      <alignment horizontal="left" vertical="center"/>
      <protection locked="0"/>
    </xf>
    <xf numFmtId="164" fontId="8" fillId="0" borderId="4" xfId="70" applyNumberFormat="1" applyFont="1" applyFill="1" applyBorder="1" applyAlignment="1" applyProtection="1">
      <alignment horizontal="left" vertical="center"/>
      <protection locked="0"/>
    </xf>
    <xf numFmtId="0" fontId="5" fillId="0" borderId="0" xfId="70" applyFont="1" applyFill="1" applyBorder="1" applyAlignment="1" applyProtection="1">
      <alignment horizontal="center" vertical="center"/>
      <protection/>
    </xf>
    <xf numFmtId="0" fontId="5" fillId="0" borderId="86" xfId="70" applyFont="1" applyFill="1" applyBorder="1" applyAlignment="1" applyProtection="1">
      <alignment horizontal="center" vertical="center"/>
      <protection/>
    </xf>
    <xf numFmtId="0" fontId="34" fillId="0" borderId="0" xfId="70" applyFont="1" applyFill="1" applyBorder="1" applyAlignment="1" applyProtection="1">
      <alignment horizontal="center" vertical="center"/>
      <protection/>
    </xf>
    <xf numFmtId="0" fontId="34" fillId="0" borderId="0" xfId="70" applyFont="1" applyFill="1" applyBorder="1" applyAlignment="1" applyProtection="1">
      <alignment horizontal="center" vertical="center" wrapText="1"/>
      <protection/>
    </xf>
    <xf numFmtId="0" fontId="0" fillId="0" borderId="0" xfId="70" applyFont="1" applyFill="1" applyAlignment="1" applyProtection="1">
      <alignment horizontal="center" vertical="center" wrapText="1"/>
      <protection/>
    </xf>
    <xf numFmtId="0" fontId="2" fillId="0" borderId="8" xfId="70" applyFont="1" applyFill="1" applyBorder="1" applyAlignment="1" applyProtection="1">
      <alignment horizontal="center" vertical="center"/>
      <protection locked="0"/>
    </xf>
    <xf numFmtId="0" fontId="2" fillId="0" borderId="8" xfId="70" applyFont="1" applyFill="1" applyBorder="1" applyAlignment="1" applyProtection="1">
      <alignment horizontal="center" vertical="center"/>
      <protection locked="0"/>
    </xf>
    <xf numFmtId="0" fontId="31" fillId="0" borderId="0" xfId="70" applyFont="1" applyFill="1" applyBorder="1" applyAlignment="1" applyProtection="1">
      <alignment horizontal="left" vertical="center" wrapText="1"/>
      <protection/>
    </xf>
    <xf numFmtId="0" fontId="2" fillId="0" borderId="35" xfId="70" applyFont="1" applyFill="1" applyBorder="1" applyAlignment="1" applyProtection="1">
      <alignment horizontal="center" vertical="center"/>
      <protection locked="0"/>
    </xf>
    <xf numFmtId="0" fontId="2" fillId="0" borderId="4" xfId="70" applyFont="1" applyFill="1" applyBorder="1" applyAlignment="1" applyProtection="1">
      <alignment horizontal="center" vertical="center"/>
      <protection locked="0"/>
    </xf>
    <xf numFmtId="0" fontId="2" fillId="0" borderId="97" xfId="70" applyFont="1" applyFill="1" applyBorder="1" applyAlignment="1" applyProtection="1">
      <alignment horizontal="center" vertical="center"/>
      <protection locked="0"/>
    </xf>
    <xf numFmtId="44" fontId="7" fillId="0" borderId="0" xfId="70" applyNumberFormat="1" applyFont="1" applyFill="1" applyAlignment="1" applyProtection="1">
      <alignment horizontal="center"/>
      <protection/>
    </xf>
    <xf numFmtId="0" fontId="10" fillId="0" borderId="0" xfId="70" applyFont="1" applyFill="1" applyBorder="1" applyAlignment="1" applyProtection="1">
      <alignment horizontal="left" vertical="center" wrapText="1"/>
      <protection/>
    </xf>
    <xf numFmtId="0" fontId="10" fillId="0" borderId="45" xfId="70" applyFont="1" applyFill="1" applyBorder="1" applyAlignment="1" applyProtection="1">
      <alignment horizontal="left" vertical="center" wrapText="1"/>
      <protection/>
    </xf>
    <xf numFmtId="0" fontId="28" fillId="0" borderId="0" xfId="70" applyFont="1" applyFill="1" applyBorder="1" applyAlignment="1" applyProtection="1">
      <alignment horizontal="right"/>
      <protection/>
    </xf>
    <xf numFmtId="0" fontId="0" fillId="0" borderId="0" xfId="70" applyFill="1" applyProtection="1">
      <alignment/>
      <protection/>
    </xf>
    <xf numFmtId="0" fontId="2" fillId="0" borderId="35" xfId="70" applyFont="1" applyFill="1" applyBorder="1" applyAlignment="1" applyProtection="1">
      <alignment horizontal="center" vertical="center"/>
      <protection locked="0"/>
    </xf>
    <xf numFmtId="0" fontId="16" fillId="0" borderId="35" xfId="70" applyFont="1" applyFill="1" applyBorder="1" applyAlignment="1" applyProtection="1">
      <alignment horizontal="left" vertical="center"/>
      <protection locked="0"/>
    </xf>
    <xf numFmtId="0" fontId="16" fillId="0" borderId="4" xfId="70" applyFont="1" applyFill="1" applyBorder="1" applyAlignment="1" applyProtection="1">
      <alignment horizontal="left" vertical="center"/>
      <protection locked="0"/>
    </xf>
    <xf numFmtId="0" fontId="0" fillId="0" borderId="4" xfId="70" applyFill="1" applyBorder="1" applyAlignment="1" applyProtection="1">
      <alignment/>
      <protection locked="0"/>
    </xf>
    <xf numFmtId="0" fontId="0" fillId="0" borderId="97" xfId="70" applyFill="1" applyBorder="1" applyAlignment="1" applyProtection="1">
      <alignment/>
      <protection locked="0"/>
    </xf>
    <xf numFmtId="0" fontId="2" fillId="0" borderId="35" xfId="70" applyFont="1" applyFill="1" applyBorder="1" applyAlignment="1" applyProtection="1">
      <alignment vertical="center"/>
      <protection locked="0"/>
    </xf>
    <xf numFmtId="0" fontId="2" fillId="0" borderId="4" xfId="70" applyFont="1" applyFill="1" applyBorder="1" applyAlignment="1" applyProtection="1">
      <alignment vertical="center"/>
      <protection locked="0"/>
    </xf>
    <xf numFmtId="0" fontId="0" fillId="0" borderId="97" xfId="70" applyFill="1" applyBorder="1" applyProtection="1">
      <alignment/>
      <protection locked="0"/>
    </xf>
    <xf numFmtId="0" fontId="0" fillId="0" borderId="4" xfId="70" applyFill="1" applyBorder="1" applyAlignment="1" applyProtection="1">
      <alignment vertical="center"/>
      <protection locked="0"/>
    </xf>
    <xf numFmtId="0" fontId="0" fillId="0" borderId="97" xfId="70" applyFill="1" applyBorder="1" applyAlignment="1" applyProtection="1">
      <alignment vertical="center"/>
      <protection locked="0"/>
    </xf>
    <xf numFmtId="0" fontId="16" fillId="0" borderId="8" xfId="70" applyFont="1" applyFill="1" applyBorder="1" applyAlignment="1" applyProtection="1">
      <alignment horizontal="left" vertical="center"/>
      <protection locked="0"/>
    </xf>
    <xf numFmtId="0" fontId="0" fillId="0" borderId="8" xfId="70" applyFill="1" applyBorder="1" applyAlignment="1" applyProtection="1">
      <alignment vertical="center"/>
      <protection locked="0"/>
    </xf>
    <xf numFmtId="0" fontId="16" fillId="0" borderId="97" xfId="70" applyFont="1" applyFill="1" applyBorder="1" applyAlignment="1" applyProtection="1">
      <alignment horizontal="left" vertical="center"/>
      <protection locked="0"/>
    </xf>
    <xf numFmtId="3" fontId="28" fillId="0" borderId="0" xfId="70" applyNumberFormat="1" applyFont="1" applyFill="1" applyBorder="1" applyAlignment="1" applyProtection="1">
      <alignment horizontal="right"/>
      <protection/>
    </xf>
    <xf numFmtId="0" fontId="0" fillId="0" borderId="0" xfId="70" applyFill="1" applyBorder="1" applyAlignment="1" applyProtection="1">
      <alignment vertical="center" wrapText="1"/>
      <protection/>
    </xf>
    <xf numFmtId="0" fontId="0" fillId="0" borderId="0" xfId="70" applyFill="1" applyAlignment="1" applyProtection="1">
      <alignment vertical="center" wrapText="1"/>
      <protection/>
    </xf>
    <xf numFmtId="0" fontId="0" fillId="0" borderId="0" xfId="70" applyFill="1" applyAlignment="1" applyProtection="1">
      <alignment horizontal="center"/>
      <protection/>
    </xf>
    <xf numFmtId="0" fontId="0" fillId="0" borderId="0" xfId="70" applyFont="1" applyFill="1" applyBorder="1" applyAlignment="1" applyProtection="1">
      <alignment horizontal="left" vertical="center" wrapText="1"/>
      <protection/>
    </xf>
    <xf numFmtId="0" fontId="8" fillId="0" borderId="0" xfId="70" applyFont="1" applyFill="1" applyBorder="1" applyAlignment="1" applyProtection="1">
      <alignment horizontal="center" vertical="center"/>
      <protection/>
    </xf>
    <xf numFmtId="5" fontId="8" fillId="0" borderId="0" xfId="70" applyNumberFormat="1" applyFont="1" applyFill="1" applyBorder="1" applyAlignment="1" applyProtection="1">
      <alignment horizontal="center" vertical="center"/>
      <protection/>
    </xf>
    <xf numFmtId="0" fontId="0" fillId="0" borderId="0" xfId="70" applyFont="1" applyFill="1" applyBorder="1" applyAlignment="1" applyProtection="1">
      <alignment horizontal="left" vertical="top" wrapText="1"/>
      <protection/>
    </xf>
    <xf numFmtId="0" fontId="6" fillId="0" borderId="98" xfId="0" applyFont="1" applyBorder="1" applyAlignment="1">
      <alignment horizontal="center" vertical="center" wrapText="1"/>
    </xf>
    <xf numFmtId="0" fontId="6" fillId="0" borderId="99" xfId="0" applyFont="1" applyBorder="1" applyAlignment="1">
      <alignment horizontal="center" vertical="center" wrapText="1"/>
    </xf>
    <xf numFmtId="0" fontId="6" fillId="0" borderId="100" xfId="0" applyFont="1" applyBorder="1" applyAlignment="1">
      <alignment horizontal="center" vertical="center" wrapText="1"/>
    </xf>
    <xf numFmtId="49" fontId="16" fillId="37" borderId="101" xfId="0" applyNumberFormat="1" applyFont="1" applyFill="1" applyBorder="1" applyAlignment="1">
      <alignment horizontal="left" vertical="center"/>
    </xf>
    <xf numFmtId="49" fontId="16" fillId="37" borderId="0" xfId="0" applyNumberFormat="1" applyFont="1" applyFill="1" applyAlignment="1">
      <alignment horizontal="left" vertical="center"/>
    </xf>
    <xf numFmtId="0" fontId="6" fillId="0" borderId="102" xfId="0" applyFont="1" applyFill="1" applyBorder="1" applyAlignment="1" applyProtection="1">
      <alignment horizontal="center" vertical="center"/>
      <protection/>
    </xf>
    <xf numFmtId="0" fontId="6" fillId="0" borderId="103" xfId="0" applyFont="1" applyFill="1" applyBorder="1" applyAlignment="1" applyProtection="1">
      <alignment horizontal="center" vertical="center"/>
      <protection/>
    </xf>
    <xf numFmtId="0" fontId="6" fillId="0" borderId="104" xfId="0" applyFont="1" applyFill="1" applyBorder="1" applyAlignment="1" applyProtection="1">
      <alignment horizontal="center" vertical="center"/>
      <protection/>
    </xf>
    <xf numFmtId="0" fontId="8" fillId="0" borderId="35" xfId="0" applyFont="1" applyBorder="1" applyAlignment="1">
      <alignment horizontal="right" wrapText="1"/>
    </xf>
    <xf numFmtId="0" fontId="8" fillId="0" borderId="4" xfId="0" applyFont="1" applyBorder="1" applyAlignment="1">
      <alignment horizontal="right" wrapText="1"/>
    </xf>
    <xf numFmtId="0" fontId="8" fillId="0" borderId="66" xfId="0" applyFont="1" applyBorder="1" applyAlignment="1">
      <alignment horizontal="right" wrapText="1"/>
    </xf>
    <xf numFmtId="0" fontId="0" fillId="0" borderId="36" xfId="0" applyBorder="1" applyAlignment="1">
      <alignment horizontal="center"/>
    </xf>
    <xf numFmtId="0" fontId="0" fillId="0" borderId="35" xfId="0" applyBorder="1" applyAlignment="1">
      <alignment horizontal="center"/>
    </xf>
    <xf numFmtId="0" fontId="0" fillId="0" borderId="4" xfId="0" applyBorder="1" applyAlignment="1">
      <alignment horizontal="center"/>
    </xf>
    <xf numFmtId="0" fontId="0" fillId="0" borderId="66" xfId="0" applyBorder="1" applyAlignment="1">
      <alignment horizontal="center"/>
    </xf>
    <xf numFmtId="0" fontId="12" fillId="37" borderId="0" xfId="0" applyFont="1" applyFill="1" applyAlignment="1">
      <alignment horizontal="left"/>
    </xf>
  </cellXfs>
  <cellStyles count="8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active" xfId="39"/>
    <cellStyle name="Bad" xfId="40"/>
    <cellStyle name="Calculation" xfId="41"/>
    <cellStyle name="Check Cell" xfId="42"/>
    <cellStyle name="Comma" xfId="43"/>
    <cellStyle name="Comma [0]" xfId="44"/>
    <cellStyle name="Currency" xfId="45"/>
    <cellStyle name="Currency [0]" xfId="46"/>
    <cellStyle name="Explanatory Text" xfId="47"/>
    <cellStyle name="Good" xfId="48"/>
    <cellStyle name="Grey" xfId="49"/>
    <cellStyle name="Header1" xfId="50"/>
    <cellStyle name="Header2" xfId="51"/>
    <cellStyle name="Heading 1" xfId="52"/>
    <cellStyle name="Heading 2" xfId="53"/>
    <cellStyle name="Heading 3" xfId="54"/>
    <cellStyle name="Heading 4" xfId="55"/>
    <cellStyle name="Input" xfId="56"/>
    <cellStyle name="Input [yellow]" xfId="57"/>
    <cellStyle name="Linked Cell" xfId="58"/>
    <cellStyle name="Neutral" xfId="59"/>
    <cellStyle name="Normal - Style1" xfId="60"/>
    <cellStyle name="Normal - Style1 10" xfId="61"/>
    <cellStyle name="Normal - Style1 2" xfId="62"/>
    <cellStyle name="Normal - Style1 3" xfId="63"/>
    <cellStyle name="Normal - Style1 4" xfId="64"/>
    <cellStyle name="Normal - Style1 5" xfId="65"/>
    <cellStyle name="Normal - Style1 6" xfId="66"/>
    <cellStyle name="Normal - Style1 7" xfId="67"/>
    <cellStyle name="Normal - Style1 8" xfId="68"/>
    <cellStyle name="Normal - Style1 9" xfId="69"/>
    <cellStyle name="Normal 2" xfId="70"/>
    <cellStyle name="Note" xfId="71"/>
    <cellStyle name="Output" xfId="72"/>
    <cellStyle name="Percent" xfId="73"/>
    <cellStyle name="Percent [2]" xfId="74"/>
    <cellStyle name="Percent [2] 10" xfId="75"/>
    <cellStyle name="Percent [2] 2" xfId="76"/>
    <cellStyle name="Percent [2] 3" xfId="77"/>
    <cellStyle name="Percent [2] 4" xfId="78"/>
    <cellStyle name="Percent [2] 5" xfId="79"/>
    <cellStyle name="Percent [2] 6" xfId="80"/>
    <cellStyle name="Percent [2] 7" xfId="81"/>
    <cellStyle name="Percent [2] 8" xfId="82"/>
    <cellStyle name="Percent [2] 9" xfId="83"/>
    <cellStyle name="PSChar" xfId="84"/>
    <cellStyle name="PSChar 2" xfId="85"/>
    <cellStyle name="PSChar 3" xfId="86"/>
    <cellStyle name="PSChar 4" xfId="87"/>
    <cellStyle name="PSChar 5" xfId="88"/>
    <cellStyle name="PSChar 6" xfId="89"/>
    <cellStyle name="PSChar 7" xfId="90"/>
    <cellStyle name="PSChar 8" xfId="91"/>
    <cellStyle name="PSChar 9" xfId="92"/>
    <cellStyle name="Title" xfId="93"/>
    <cellStyle name="Total" xfId="94"/>
    <cellStyle name="Warning Text" xfId="95"/>
  </cellStyles>
  <dxfs count="63">
    <dxf>
      <font>
        <color indexed="9"/>
      </font>
    </dxf>
    <dxf>
      <font>
        <color indexed="9"/>
      </font>
    </dxf>
    <dxf>
      <font>
        <color rgb="FFFF0000"/>
      </font>
    </dxf>
    <dxf>
      <font>
        <color rgb="FFFF0000"/>
      </font>
    </dxf>
    <dxf>
      <font>
        <color rgb="FFFF0000"/>
      </font>
    </dxf>
    <dxf>
      <font>
        <color rgb="FFFF0000"/>
      </font>
    </dxf>
    <dxf>
      <font>
        <color rgb="FFFF0000"/>
      </font>
    </dxf>
    <dxf>
      <font>
        <color rgb="FFFF0000"/>
      </font>
    </dxf>
    <dxf>
      <fill>
        <patternFill>
          <bgColor theme="0" tint="-0.24993999302387238"/>
        </patternFill>
      </fill>
    </dxf>
    <dxf>
      <font>
        <color auto="1"/>
      </font>
      <fill>
        <patternFill>
          <bgColor theme="8" tint="0.3999499976634979"/>
        </patternFill>
      </fill>
    </dxf>
    <dxf>
      <fill>
        <patternFill>
          <bgColor theme="0" tint="-0.24993999302387238"/>
        </patternFill>
      </fill>
    </dxf>
    <dxf>
      <font>
        <color auto="1"/>
      </font>
      <fill>
        <patternFill>
          <bgColor theme="8" tint="0.3999499976634979"/>
        </patternFill>
      </fill>
    </dxf>
    <dxf>
      <font>
        <color rgb="FFFF0000"/>
      </font>
    </dxf>
    <dxf>
      <font>
        <strike val="0"/>
        <color rgb="FFFF0000"/>
      </font>
    </dxf>
    <dxf>
      <font>
        <color rgb="FFFF0000"/>
      </font>
    </dxf>
    <dxf>
      <font>
        <color rgb="FFFF0000"/>
      </font>
    </dxf>
    <dxf>
      <fill>
        <patternFill>
          <bgColor theme="0" tint="-0.24993999302387238"/>
        </patternFill>
      </fill>
    </dxf>
    <dxf>
      <font>
        <color auto="1"/>
      </font>
      <fill>
        <patternFill>
          <bgColor theme="8" tint="0.3999499976634979"/>
        </patternFill>
      </fill>
    </dxf>
    <dxf>
      <fill>
        <patternFill>
          <bgColor theme="0" tint="-0.24993999302387238"/>
        </patternFill>
      </fill>
    </dxf>
    <dxf>
      <font>
        <color auto="1"/>
      </font>
      <fill>
        <patternFill>
          <bgColor theme="8" tint="0.3999499976634979"/>
        </patternFill>
      </fill>
    </dxf>
    <dxf>
      <fill>
        <patternFill>
          <bgColor theme="0" tint="-0.24993999302387238"/>
        </patternFill>
      </fill>
    </dxf>
    <dxf>
      <font>
        <color auto="1"/>
      </font>
      <fill>
        <patternFill>
          <bgColor theme="8" tint="0.3999499976634979"/>
        </patternFill>
      </fill>
    </dxf>
    <dxf>
      <fill>
        <patternFill>
          <bgColor theme="0" tint="-0.24993999302387238"/>
        </patternFill>
      </fill>
    </dxf>
    <dxf>
      <font>
        <color auto="1"/>
      </font>
      <fill>
        <patternFill>
          <bgColor theme="8" tint="0.3999499976634979"/>
        </patternFill>
      </fill>
    </dxf>
    <dxf>
      <fill>
        <patternFill>
          <bgColor theme="0" tint="-0.24993999302387238"/>
        </patternFill>
      </fill>
    </dxf>
    <dxf>
      <font>
        <color auto="1"/>
      </font>
      <fill>
        <patternFill>
          <bgColor theme="8" tint="0.3999499976634979"/>
        </patternFill>
      </fill>
    </dxf>
    <dxf>
      <font>
        <color rgb="FFFF0000"/>
      </font>
    </dxf>
    <dxf>
      <font>
        <strike val="0"/>
        <color rgb="FFFF0000"/>
      </font>
    </dxf>
    <dxf>
      <font>
        <color rgb="FFFF0000"/>
      </font>
    </dxf>
    <dxf>
      <font>
        <color rgb="FFFF0000"/>
      </font>
    </dxf>
    <dxf>
      <fill>
        <patternFill>
          <bgColor indexed="22"/>
        </patternFill>
      </fill>
    </dxf>
    <dxf>
      <fill>
        <patternFill patternType="solid">
          <bgColor indexed="9"/>
        </patternFill>
      </fill>
    </dxf>
    <dxf>
      <font>
        <b val="0"/>
        <i val="0"/>
        <color indexed="10"/>
      </font>
    </dxf>
    <dxf>
      <fill>
        <patternFill>
          <bgColor theme="0" tint="-0.24993999302387238"/>
        </patternFill>
      </fill>
    </dxf>
    <dxf>
      <font>
        <color auto="1"/>
      </font>
      <fill>
        <patternFill>
          <bgColor theme="8" tint="0.3999499976634979"/>
        </patternFill>
      </fill>
    </dxf>
    <dxf>
      <fill>
        <patternFill>
          <bgColor theme="0" tint="-0.24993999302387238"/>
        </patternFill>
      </fill>
    </dxf>
    <dxf>
      <font>
        <color auto="1"/>
      </font>
      <fill>
        <patternFill>
          <bgColor theme="8" tint="0.3999499976634979"/>
        </patternFill>
      </fill>
    </dxf>
    <dxf>
      <fill>
        <patternFill>
          <bgColor theme="0" tint="-0.24993999302387238"/>
        </patternFill>
      </fill>
    </dxf>
    <dxf>
      <font>
        <color auto="1"/>
      </font>
      <fill>
        <patternFill>
          <bgColor theme="8" tint="0.3999499976634979"/>
        </patternFill>
      </fill>
    </dxf>
    <dxf>
      <fill>
        <patternFill>
          <bgColor theme="0" tint="-0.24993999302387238"/>
        </patternFill>
      </fill>
    </dxf>
    <dxf>
      <font>
        <color auto="1"/>
      </font>
      <fill>
        <patternFill>
          <bgColor theme="8" tint="0.3999499976634979"/>
        </patternFill>
      </fill>
    </dxf>
    <dxf>
      <fill>
        <patternFill>
          <bgColor theme="0" tint="-0.24993999302387238"/>
        </patternFill>
      </fill>
    </dxf>
    <dxf>
      <font>
        <color auto="1"/>
      </font>
      <fill>
        <patternFill>
          <bgColor theme="8" tint="0.3999499976634979"/>
        </patternFill>
      </fill>
    </dxf>
    <dxf>
      <font>
        <color rgb="FFFF0000"/>
      </font>
    </dxf>
    <dxf>
      <font>
        <color rgb="FFFF0000"/>
      </font>
    </dxf>
    <dxf>
      <font>
        <color rgb="FFFF0000"/>
      </font>
    </dxf>
    <dxf>
      <font>
        <color rgb="FFFF0000"/>
      </font>
    </dxf>
    <dxf>
      <font>
        <strike val="0"/>
        <color rgb="FFFF0000"/>
      </font>
    </dxf>
    <dxf>
      <font>
        <color rgb="FFFF0000"/>
      </font>
    </dxf>
    <dxf>
      <font>
        <color rgb="FFFF0000"/>
      </font>
    </dxf>
    <dxf/>
    <dxf>
      <font>
        <b/>
        <i val="0"/>
        <color indexed="10"/>
      </font>
    </dxf>
    <dxf>
      <font>
        <b val="0"/>
        <i/>
        <color indexed="22"/>
      </font>
    </dxf>
    <dxf>
      <font>
        <b val="0"/>
        <i/>
        <color indexed="22"/>
      </font>
    </dxf>
    <dxf>
      <font>
        <b val="0"/>
        <i/>
        <color indexed="22"/>
      </font>
    </dxf>
    <dxf>
      <font>
        <b val="0"/>
        <i/>
        <color indexed="22"/>
      </font>
    </dxf>
    <dxf>
      <font>
        <b val="0"/>
        <i/>
        <color indexed="22"/>
      </font>
    </dxf>
    <dxf>
      <fill>
        <patternFill>
          <bgColor indexed="10"/>
        </patternFill>
      </fill>
    </dxf>
    <dxf>
      <fill>
        <patternFill>
          <bgColor indexed="10"/>
        </patternFill>
      </fill>
    </dxf>
    <dxf>
      <fill>
        <patternFill>
          <bgColor indexed="10"/>
        </patternFill>
      </fill>
    </dxf>
    <dxf>
      <fill>
        <patternFill>
          <bgColor indexed="10"/>
        </patternFill>
      </fill>
    </dxf>
    <dxf>
      <font>
        <color rgb="FFFF0000"/>
      </font>
      <fill>
        <patternFill patternType="none">
          <bgColor indexed="65"/>
        </patternFill>
      </fill>
    </dxf>
    <dxf>
      <font>
        <b val="0"/>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externalLink" Target="externalLinks/externalLink1.xml" /><Relationship Id="rId2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1000125</xdr:colOff>
      <xdr:row>1</xdr:row>
      <xdr:rowOff>66675</xdr:rowOff>
    </xdr:from>
    <xdr:to>
      <xdr:col>5</xdr:col>
      <xdr:colOff>685800</xdr:colOff>
      <xdr:row>5</xdr:row>
      <xdr:rowOff>47625</xdr:rowOff>
    </xdr:to>
    <xdr:pic>
      <xdr:nvPicPr>
        <xdr:cNvPr id="1" name="Picture 2"/>
        <xdr:cNvPicPr preferRelativeResize="1">
          <a:picLocks noChangeAspect="1"/>
        </xdr:cNvPicPr>
      </xdr:nvPicPr>
      <xdr:blipFill>
        <a:blip r:embed="rId1"/>
        <a:stretch>
          <a:fillRect/>
        </a:stretch>
      </xdr:blipFill>
      <xdr:spPr>
        <a:xfrm>
          <a:off x="1476375" y="333375"/>
          <a:ext cx="914400" cy="914400"/>
        </a:xfrm>
        <a:prstGeom prst="rect">
          <a:avLst/>
        </a:prstGeom>
        <a:noFill/>
        <a:ln w="9525" cmpd="sng">
          <a:noFill/>
        </a:ln>
      </xdr:spPr>
    </xdr:pic>
    <xdr:clientData/>
  </xdr:twoCellAnchor>
  <xdr:twoCellAnchor editAs="oneCell">
    <xdr:from>
      <xdr:col>2</xdr:col>
      <xdr:colOff>19050</xdr:colOff>
      <xdr:row>1</xdr:row>
      <xdr:rowOff>76200</xdr:rowOff>
    </xdr:from>
    <xdr:to>
      <xdr:col>3</xdr:col>
      <xdr:colOff>819150</xdr:colOff>
      <xdr:row>5</xdr:row>
      <xdr:rowOff>57150</xdr:rowOff>
    </xdr:to>
    <xdr:pic>
      <xdr:nvPicPr>
        <xdr:cNvPr id="2" name="Picture 3"/>
        <xdr:cNvPicPr preferRelativeResize="1">
          <a:picLocks noChangeAspect="1"/>
        </xdr:cNvPicPr>
      </xdr:nvPicPr>
      <xdr:blipFill>
        <a:blip r:embed="rId2"/>
        <a:stretch>
          <a:fillRect/>
        </a:stretch>
      </xdr:blipFill>
      <xdr:spPr>
        <a:xfrm>
          <a:off x="381000" y="342900"/>
          <a:ext cx="914400" cy="9144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47625</xdr:colOff>
      <xdr:row>6</xdr:row>
      <xdr:rowOff>47625</xdr:rowOff>
    </xdr:from>
    <xdr:to>
      <xdr:col>7</xdr:col>
      <xdr:colOff>790575</xdr:colOff>
      <xdr:row>20</xdr:row>
      <xdr:rowOff>0</xdr:rowOff>
    </xdr:to>
    <xdr:sp>
      <xdr:nvSpPr>
        <xdr:cNvPr id="1" name="Text Box 1"/>
        <xdr:cNvSpPr txBox="1">
          <a:spLocks noChangeArrowheads="1"/>
        </xdr:cNvSpPr>
      </xdr:nvSpPr>
      <xdr:spPr>
        <a:xfrm>
          <a:off x="3381375" y="1095375"/>
          <a:ext cx="3219450" cy="221932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Construction of 2 @ 30' divided minor arterial street with 5" HMAC / 16" Flexible Base / 12" Lime Stabilized Subgrade. Assumes base 3 ft behind back of curb.</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47625</xdr:colOff>
      <xdr:row>6</xdr:row>
      <xdr:rowOff>47625</xdr:rowOff>
    </xdr:from>
    <xdr:to>
      <xdr:col>7</xdr:col>
      <xdr:colOff>790575</xdr:colOff>
      <xdr:row>20</xdr:row>
      <xdr:rowOff>0</xdr:rowOff>
    </xdr:to>
    <xdr:sp>
      <xdr:nvSpPr>
        <xdr:cNvPr id="1" name="Text Box 1"/>
        <xdr:cNvSpPr txBox="1">
          <a:spLocks noChangeArrowheads="1"/>
        </xdr:cNvSpPr>
      </xdr:nvSpPr>
      <xdr:spPr>
        <a:xfrm>
          <a:off x="3381375" y="1095375"/>
          <a:ext cx="3219450" cy="221932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Construction of 48' undivided minor arterial street with 5" HMAC / 16" Flexible Base / 12" Lime Stabilized Subgrade. Assumes base 3 ft behind back of curb.</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47625</xdr:colOff>
      <xdr:row>6</xdr:row>
      <xdr:rowOff>47625</xdr:rowOff>
    </xdr:from>
    <xdr:to>
      <xdr:col>7</xdr:col>
      <xdr:colOff>790575</xdr:colOff>
      <xdr:row>20</xdr:row>
      <xdr:rowOff>0</xdr:rowOff>
    </xdr:to>
    <xdr:sp>
      <xdr:nvSpPr>
        <xdr:cNvPr id="1" name="Text Box 1"/>
        <xdr:cNvSpPr txBox="1">
          <a:spLocks noChangeArrowheads="1"/>
        </xdr:cNvSpPr>
      </xdr:nvSpPr>
      <xdr:spPr>
        <a:xfrm>
          <a:off x="3381375" y="1095375"/>
          <a:ext cx="3219450" cy="221932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Construction of 60' undivided minor arterial street with 5" HMAC / 16" Flexible Base / 12" Lime Stabilized Subgrade. Assumes base 3 ft behind back of curb.</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47625</xdr:colOff>
      <xdr:row>6</xdr:row>
      <xdr:rowOff>47625</xdr:rowOff>
    </xdr:from>
    <xdr:to>
      <xdr:col>7</xdr:col>
      <xdr:colOff>790575</xdr:colOff>
      <xdr:row>20</xdr:row>
      <xdr:rowOff>0</xdr:rowOff>
    </xdr:to>
    <xdr:sp>
      <xdr:nvSpPr>
        <xdr:cNvPr id="1" name="Text Box 1"/>
        <xdr:cNvSpPr txBox="1">
          <a:spLocks noChangeArrowheads="1"/>
        </xdr:cNvSpPr>
      </xdr:nvSpPr>
      <xdr:spPr>
        <a:xfrm>
          <a:off x="3381375" y="1095375"/>
          <a:ext cx="3219450" cy="221932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Construction of 2 @ 30' divided </a:t>
          </a:r>
          <a:r>
            <a:rPr lang="en-US" cap="none" sz="1000" b="0" i="0" u="none" baseline="0">
              <a:solidFill>
                <a:srgbClr val="000000"/>
              </a:solidFill>
              <a:latin typeface="Arial"/>
              <a:ea typeface="Arial"/>
              <a:cs typeface="Arial"/>
            </a:rPr>
            <a:t>major arterial street with 6" HMAC / 18" Flexible Base / 12" Lime Stabilized Subgrade. Assumes base 3 ft behind back of curb.</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47625</xdr:colOff>
      <xdr:row>6</xdr:row>
      <xdr:rowOff>47625</xdr:rowOff>
    </xdr:from>
    <xdr:to>
      <xdr:col>7</xdr:col>
      <xdr:colOff>790575</xdr:colOff>
      <xdr:row>20</xdr:row>
      <xdr:rowOff>0</xdr:rowOff>
    </xdr:to>
    <xdr:sp>
      <xdr:nvSpPr>
        <xdr:cNvPr id="1" name="Text Box 1"/>
        <xdr:cNvSpPr txBox="1">
          <a:spLocks noChangeArrowheads="1"/>
        </xdr:cNvSpPr>
      </xdr:nvSpPr>
      <xdr:spPr>
        <a:xfrm>
          <a:off x="3381375" y="1095375"/>
          <a:ext cx="3219450" cy="221932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Construction of 51' undivided major arterial street with 6" HMAC / 18" Flexible Base / 12" Lime Stabilized Subgrade. Assumes base 3 ft behind back of curb.</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47625</xdr:colOff>
      <xdr:row>6</xdr:row>
      <xdr:rowOff>47625</xdr:rowOff>
    </xdr:from>
    <xdr:to>
      <xdr:col>7</xdr:col>
      <xdr:colOff>790575</xdr:colOff>
      <xdr:row>20</xdr:row>
      <xdr:rowOff>0</xdr:rowOff>
    </xdr:to>
    <xdr:sp>
      <xdr:nvSpPr>
        <xdr:cNvPr id="1" name="Text Box 1"/>
        <xdr:cNvSpPr txBox="1">
          <a:spLocks noChangeArrowheads="1"/>
        </xdr:cNvSpPr>
      </xdr:nvSpPr>
      <xdr:spPr>
        <a:xfrm>
          <a:off x="3381375" y="1095375"/>
          <a:ext cx="3219450" cy="221932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Construction of 2 @ 39' divided major arterial street with 6" HMAC / 18" Flexible Base / 12" Lime Stabilized Subgrade.  Assumes base 3 ft behind back of curb.</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47625</xdr:colOff>
      <xdr:row>6</xdr:row>
      <xdr:rowOff>47625</xdr:rowOff>
    </xdr:from>
    <xdr:to>
      <xdr:col>7</xdr:col>
      <xdr:colOff>790575</xdr:colOff>
      <xdr:row>20</xdr:row>
      <xdr:rowOff>0</xdr:rowOff>
    </xdr:to>
    <xdr:sp>
      <xdr:nvSpPr>
        <xdr:cNvPr id="1" name="Text Box 1"/>
        <xdr:cNvSpPr txBox="1">
          <a:spLocks noChangeArrowheads="1"/>
        </xdr:cNvSpPr>
      </xdr:nvSpPr>
      <xdr:spPr>
        <a:xfrm>
          <a:off x="3381375" y="1095375"/>
          <a:ext cx="3219450" cy="221932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Construction of 2 @ 51' divided major arterial street with 6" HMAC / 18" Flexible Base / 12" Lime Stabilized Subgrade.  Assumes base 3 ft behind back of curb.</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47625</xdr:colOff>
      <xdr:row>6</xdr:row>
      <xdr:rowOff>47625</xdr:rowOff>
    </xdr:from>
    <xdr:to>
      <xdr:col>7</xdr:col>
      <xdr:colOff>790575</xdr:colOff>
      <xdr:row>20</xdr:row>
      <xdr:rowOff>0</xdr:rowOff>
    </xdr:to>
    <xdr:sp>
      <xdr:nvSpPr>
        <xdr:cNvPr id="1" name="Text Box 1"/>
        <xdr:cNvSpPr txBox="1">
          <a:spLocks noChangeArrowheads="1"/>
        </xdr:cNvSpPr>
      </xdr:nvSpPr>
      <xdr:spPr>
        <a:xfrm>
          <a:off x="3381375" y="1095375"/>
          <a:ext cx="3219450" cy="221932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Construction of 40' residential collector street with 2.5" HMAC / 10" Flexible Base / 12" Lime Stabilized Subgrade. Assumes base 3 ft behind back of curb.</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47625</xdr:colOff>
      <xdr:row>6</xdr:row>
      <xdr:rowOff>47625</xdr:rowOff>
    </xdr:from>
    <xdr:to>
      <xdr:col>7</xdr:col>
      <xdr:colOff>790575</xdr:colOff>
      <xdr:row>20</xdr:row>
      <xdr:rowOff>0</xdr:rowOff>
    </xdr:to>
    <xdr:sp>
      <xdr:nvSpPr>
        <xdr:cNvPr id="1" name="Text Box 1"/>
        <xdr:cNvSpPr txBox="1">
          <a:spLocks noChangeArrowheads="1"/>
        </xdr:cNvSpPr>
      </xdr:nvSpPr>
      <xdr:spPr>
        <a:xfrm>
          <a:off x="3381375" y="1095375"/>
          <a:ext cx="3219450" cy="221932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Construction of 30' neighborhood collector street with 3" HMAC / 12" Flexible Base / 12" Lime Stabilized Subgrade. Assumes base 3 ft behind back of curb.</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47625</xdr:colOff>
      <xdr:row>6</xdr:row>
      <xdr:rowOff>47625</xdr:rowOff>
    </xdr:from>
    <xdr:to>
      <xdr:col>7</xdr:col>
      <xdr:colOff>790575</xdr:colOff>
      <xdr:row>20</xdr:row>
      <xdr:rowOff>0</xdr:rowOff>
    </xdr:to>
    <xdr:sp>
      <xdr:nvSpPr>
        <xdr:cNvPr id="1" name="Text Box 1"/>
        <xdr:cNvSpPr txBox="1">
          <a:spLocks noChangeArrowheads="1"/>
        </xdr:cNvSpPr>
      </xdr:nvSpPr>
      <xdr:spPr>
        <a:xfrm>
          <a:off x="3381375" y="1095375"/>
          <a:ext cx="3219450" cy="221932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Construction of 48' commercial collector street with 4.5" HMAC / 15" Flexible Base / 12" Lime Stabilized Subgrade. Assumes base 3 ft behind back of curb.</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47625</xdr:colOff>
      <xdr:row>6</xdr:row>
      <xdr:rowOff>47625</xdr:rowOff>
    </xdr:from>
    <xdr:to>
      <xdr:col>7</xdr:col>
      <xdr:colOff>790575</xdr:colOff>
      <xdr:row>20</xdr:row>
      <xdr:rowOff>0</xdr:rowOff>
    </xdr:to>
    <xdr:sp>
      <xdr:nvSpPr>
        <xdr:cNvPr id="1" name="Text Box 1"/>
        <xdr:cNvSpPr txBox="1">
          <a:spLocks noChangeArrowheads="1"/>
        </xdr:cNvSpPr>
      </xdr:nvSpPr>
      <xdr:spPr>
        <a:xfrm>
          <a:off x="3381375" y="1095375"/>
          <a:ext cx="3219450" cy="221932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Construction of 60' industrial collector street with 4" HMAC / 14" Flexible Base / 12" Lime Stabilized Subgrade. Assumes base 3 ft behind back of curb.</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47625</xdr:colOff>
      <xdr:row>6</xdr:row>
      <xdr:rowOff>47625</xdr:rowOff>
    </xdr:from>
    <xdr:to>
      <xdr:col>7</xdr:col>
      <xdr:colOff>790575</xdr:colOff>
      <xdr:row>20</xdr:row>
      <xdr:rowOff>0</xdr:rowOff>
    </xdr:to>
    <xdr:sp>
      <xdr:nvSpPr>
        <xdr:cNvPr id="1" name="Text Box 1"/>
        <xdr:cNvSpPr txBox="1">
          <a:spLocks noChangeArrowheads="1"/>
        </xdr:cNvSpPr>
      </xdr:nvSpPr>
      <xdr:spPr>
        <a:xfrm>
          <a:off x="3381375" y="1095375"/>
          <a:ext cx="3219450" cy="221932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Construction of 48' undivided primary collector street with 3.5" HMAC / 14" Flexible Base / 12" Lime Stabilized Subgrade. Assumes base 3 ft behind back of curb.</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47625</xdr:colOff>
      <xdr:row>6</xdr:row>
      <xdr:rowOff>47625</xdr:rowOff>
    </xdr:from>
    <xdr:to>
      <xdr:col>7</xdr:col>
      <xdr:colOff>790575</xdr:colOff>
      <xdr:row>20</xdr:row>
      <xdr:rowOff>0</xdr:rowOff>
    </xdr:to>
    <xdr:sp>
      <xdr:nvSpPr>
        <xdr:cNvPr id="1" name="Text Box 1"/>
        <xdr:cNvSpPr txBox="1">
          <a:spLocks noChangeArrowheads="1"/>
        </xdr:cNvSpPr>
      </xdr:nvSpPr>
      <xdr:spPr>
        <a:xfrm>
          <a:off x="3381375" y="1095375"/>
          <a:ext cx="3219450" cy="221932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Construction of 60' undivided primary collector street with 4" HMAC / 14" Flexible Base / 12" Lime Stabilized Subgrade. Assumes base 3 ft behind back of curb.</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47625</xdr:colOff>
      <xdr:row>6</xdr:row>
      <xdr:rowOff>47625</xdr:rowOff>
    </xdr:from>
    <xdr:to>
      <xdr:col>7</xdr:col>
      <xdr:colOff>790575</xdr:colOff>
      <xdr:row>20</xdr:row>
      <xdr:rowOff>0</xdr:rowOff>
    </xdr:to>
    <xdr:sp>
      <xdr:nvSpPr>
        <xdr:cNvPr id="1" name="Text Box 1"/>
        <xdr:cNvSpPr txBox="1">
          <a:spLocks noChangeArrowheads="1"/>
        </xdr:cNvSpPr>
      </xdr:nvSpPr>
      <xdr:spPr>
        <a:xfrm>
          <a:off x="3381375" y="1095375"/>
          <a:ext cx="3219450" cy="221932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Construction of 2 @ 24' divided primary collector street with 4.5" HMAC / 15" Flexible Base / 12" Lime Stabilized Subgrade. Assumes base 3 ft behind back of curb.</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47625</xdr:colOff>
      <xdr:row>6</xdr:row>
      <xdr:rowOff>47625</xdr:rowOff>
    </xdr:from>
    <xdr:to>
      <xdr:col>7</xdr:col>
      <xdr:colOff>790575</xdr:colOff>
      <xdr:row>20</xdr:row>
      <xdr:rowOff>0</xdr:rowOff>
    </xdr:to>
    <xdr:sp>
      <xdr:nvSpPr>
        <xdr:cNvPr id="1" name="Text Box 1"/>
        <xdr:cNvSpPr txBox="1">
          <a:spLocks noChangeArrowheads="1"/>
        </xdr:cNvSpPr>
      </xdr:nvSpPr>
      <xdr:spPr>
        <a:xfrm>
          <a:off x="3381375" y="1095375"/>
          <a:ext cx="3219450" cy="221932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Construction of 2 @ 36' divided primary collector street with 4.5" HMAC / 15" Flexible Base / 12" Lime Stabilized Subgrade. Assumes base 3 ft behind back of curb.</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TWFP01\Data\Project\FTW_TPTO\064424302_AustinRPA\TECH\2007_08_11_FTW_RIF_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covered_Sheet1"/>
      <sheetName val="PVSouth-Ph1"/>
      <sheetName val="PVSouth-PhIIB"/>
      <sheetName val="ParkVista-Timberland"/>
      <sheetName val="Beach-N. Tarrant"/>
      <sheetName val="McPherson-SummerCreek"/>
      <sheetName val="VWS West - N. Riverside"/>
      <sheetName val="ValleyRidgePhaseI"/>
      <sheetName val="Sample-M4U"/>
      <sheetName val="Sample-MA4D"/>
      <sheetName val="Sample-P6D"/>
      <sheetName val="NEW ROAD"/>
      <sheetName val="CCI"/>
      <sheetName val="PayItems"/>
      <sheetName val="N. Beach (1)"/>
      <sheetName val="N. Beach (2)"/>
      <sheetName val="N. Beach (3)"/>
      <sheetName val="Park Vista (1)"/>
      <sheetName val="Independence (1)"/>
      <sheetName val="Independence (2)"/>
      <sheetName val="Cleveland Gibbs"/>
      <sheetName val="Litsey (1)"/>
      <sheetName val="Litsey (2)"/>
      <sheetName val="Litsey (3)"/>
      <sheetName val="Eagle (1)"/>
      <sheetName val="Eagle (2)"/>
      <sheetName val="Henrietta"/>
      <sheetName val="Westport (1)"/>
      <sheetName val="Westport (2)"/>
      <sheetName val="Westport (3)"/>
      <sheetName val="Westport (4)"/>
      <sheetName val="Westport (5)"/>
      <sheetName val="Westport (6)"/>
      <sheetName val="Timberland (1)"/>
      <sheetName val="Timberland (2)"/>
      <sheetName val="Timberland (3)"/>
      <sheetName val="Summary"/>
      <sheetName val="CIP"/>
      <sheetName val="CIP-cost"/>
      <sheetName val="SupA"/>
      <sheetName val="E-A"/>
      <sheetName val="MaxFee"/>
      <sheetName val="PieCharts"/>
      <sheetName val="LUVMET"/>
      <sheetName val="LUVMET (2)"/>
      <sheetName val="10-Yr"/>
    </sheetNames>
    <sheetDataSet>
      <sheetData sheetId="11">
        <row r="2">
          <cell r="A2" t="str">
            <v>Median</v>
          </cell>
        </row>
        <row r="3">
          <cell r="A3" t="str">
            <v>NEW</v>
          </cell>
        </row>
        <row r="4">
          <cell r="A4" t="str">
            <v>EXISTING</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3"/>
    <pageSetUpPr fitToPage="1"/>
  </sheetPr>
  <dimension ref="B1:BQ183"/>
  <sheetViews>
    <sheetView showGridLines="0" showRowColHeaders="0" tabSelected="1" zoomScaleSheetLayoutView="100" zoomScalePageLayoutView="0" workbookViewId="0" topLeftCell="A1">
      <selection activeCell="J7" sqref="J7:U7"/>
    </sheetView>
  </sheetViews>
  <sheetFormatPr defaultColWidth="0" defaultRowHeight="0" customHeight="1" zeroHeight="1"/>
  <cols>
    <col min="1" max="1" width="3.7109375" style="218" customWidth="1"/>
    <col min="2" max="3" width="1.7109375" style="218" customWidth="1"/>
    <col min="4" max="4" width="16.7109375" style="218" customWidth="1"/>
    <col min="5" max="5" width="1.7109375" style="218" customWidth="1"/>
    <col min="6" max="6" width="14.28125" style="218" customWidth="1"/>
    <col min="7" max="7" width="1.7109375" style="218" customWidth="1"/>
    <col min="8" max="8" width="16.00390625" style="218" customWidth="1"/>
    <col min="9" max="9" width="1.7109375" style="218" customWidth="1"/>
    <col min="10" max="10" width="10.421875" style="218" customWidth="1"/>
    <col min="11" max="11" width="1.7109375" style="218" customWidth="1"/>
    <col min="12" max="12" width="9.140625" style="218" customWidth="1"/>
    <col min="13" max="13" width="8.7109375" style="218" customWidth="1"/>
    <col min="14" max="14" width="8.28125" style="218" customWidth="1"/>
    <col min="15" max="15" width="1.7109375" style="218" customWidth="1"/>
    <col min="16" max="16" width="9.421875" style="218" customWidth="1"/>
    <col min="17" max="17" width="7.8515625" style="218" customWidth="1"/>
    <col min="18" max="18" width="13.140625" style="218" customWidth="1"/>
    <col min="19" max="19" width="1.7109375" style="218" customWidth="1"/>
    <col min="20" max="20" width="20.28125" style="218" customWidth="1"/>
    <col min="21" max="22" width="1.7109375" style="218" customWidth="1"/>
    <col min="23" max="23" width="3.7109375" style="218" customWidth="1"/>
    <col min="24" max="34" width="16.421875" style="218" hidden="1" customWidth="1"/>
    <col min="35" max="51" width="9.140625" style="218" hidden="1" customWidth="1"/>
    <col min="52" max="52" width="33.7109375" style="218" hidden="1" customWidth="1"/>
    <col min="53" max="53" width="12.8515625" style="218" hidden="1" customWidth="1"/>
    <col min="54" max="54" width="20.7109375" style="220" hidden="1" customWidth="1"/>
    <col min="55" max="55" width="25.28125" style="220" hidden="1" customWidth="1"/>
    <col min="56" max="58" width="20.7109375" style="220" hidden="1" customWidth="1"/>
    <col min="59" max="59" width="40.140625" style="218" hidden="1" customWidth="1"/>
    <col min="60" max="60" width="14.421875" style="218" hidden="1" customWidth="1"/>
    <col min="61" max="61" width="10.7109375" style="218" hidden="1" customWidth="1"/>
    <col min="62" max="63" width="9.140625" style="218" hidden="1" customWidth="1"/>
    <col min="64" max="64" width="38.7109375" style="218" hidden="1" customWidth="1"/>
    <col min="65" max="65" width="12.57421875" style="218" hidden="1" customWidth="1"/>
    <col min="66" max="66" width="22.00390625" style="218" hidden="1" customWidth="1"/>
    <col min="67" max="67" width="21.8515625" style="218" hidden="1" customWidth="1"/>
    <col min="68" max="69" width="17.421875" style="218" hidden="1" customWidth="1"/>
    <col min="70" max="72" width="9.140625" style="218" hidden="1" customWidth="1"/>
    <col min="73" max="73" width="20.7109375" style="218" hidden="1" customWidth="1"/>
    <col min="74" max="16384" width="9.140625" style="218" hidden="1" customWidth="1"/>
  </cols>
  <sheetData>
    <row r="1" ht="21" customHeight="1" thickBot="1">
      <c r="AZ1" s="219" t="s">
        <v>245</v>
      </c>
    </row>
    <row r="2" spans="2:52" ht="8.25" customHeight="1" thickTop="1">
      <c r="B2" s="221"/>
      <c r="C2" s="222"/>
      <c r="D2" s="222"/>
      <c r="E2" s="222"/>
      <c r="F2" s="222"/>
      <c r="G2" s="222"/>
      <c r="H2" s="222"/>
      <c r="I2" s="222"/>
      <c r="J2" s="222"/>
      <c r="K2" s="222"/>
      <c r="L2" s="222"/>
      <c r="M2" s="222"/>
      <c r="N2" s="222"/>
      <c r="O2" s="222"/>
      <c r="P2" s="222"/>
      <c r="Q2" s="222"/>
      <c r="R2" s="222"/>
      <c r="S2" s="222"/>
      <c r="T2" s="222"/>
      <c r="U2" s="222"/>
      <c r="V2" s="223"/>
      <c r="AZ2" s="219" t="s">
        <v>245</v>
      </c>
    </row>
    <row r="3" spans="2:52" ht="26.25">
      <c r="B3" s="370" t="s">
        <v>12</v>
      </c>
      <c r="C3" s="371"/>
      <c r="D3" s="372"/>
      <c r="E3" s="372"/>
      <c r="F3" s="372"/>
      <c r="G3" s="372"/>
      <c r="H3" s="372"/>
      <c r="I3" s="372"/>
      <c r="J3" s="372"/>
      <c r="K3" s="372"/>
      <c r="L3" s="372"/>
      <c r="M3" s="372"/>
      <c r="N3" s="372"/>
      <c r="O3" s="372"/>
      <c r="P3" s="372"/>
      <c r="Q3" s="372"/>
      <c r="R3" s="372"/>
      <c r="S3" s="372"/>
      <c r="T3" s="372"/>
      <c r="U3" s="224"/>
      <c r="V3" s="225"/>
      <c r="AZ3" s="219" t="s">
        <v>245</v>
      </c>
    </row>
    <row r="4" spans="2:52" ht="18">
      <c r="B4" s="373" t="s">
        <v>13</v>
      </c>
      <c r="C4" s="374"/>
      <c r="D4" s="374"/>
      <c r="E4" s="374"/>
      <c r="F4" s="374"/>
      <c r="G4" s="374"/>
      <c r="H4" s="374"/>
      <c r="I4" s="374"/>
      <c r="J4" s="374"/>
      <c r="K4" s="374"/>
      <c r="L4" s="374"/>
      <c r="M4" s="374"/>
      <c r="N4" s="374"/>
      <c r="O4" s="374"/>
      <c r="P4" s="374"/>
      <c r="Q4" s="374"/>
      <c r="R4" s="374"/>
      <c r="S4" s="374"/>
      <c r="T4" s="374"/>
      <c r="U4" s="224"/>
      <c r="V4" s="225"/>
      <c r="AZ4" s="219" t="s">
        <v>245</v>
      </c>
    </row>
    <row r="5" spans="2:52" ht="21" customHeight="1">
      <c r="B5" s="375" t="s">
        <v>425</v>
      </c>
      <c r="C5" s="376"/>
      <c r="D5" s="376"/>
      <c r="E5" s="376"/>
      <c r="F5" s="376"/>
      <c r="G5" s="376"/>
      <c r="H5" s="376"/>
      <c r="I5" s="376"/>
      <c r="J5" s="376"/>
      <c r="K5" s="376"/>
      <c r="L5" s="376"/>
      <c r="M5" s="376"/>
      <c r="N5" s="376"/>
      <c r="O5" s="376"/>
      <c r="P5" s="376"/>
      <c r="Q5" s="376"/>
      <c r="R5" s="376"/>
      <c r="S5" s="376"/>
      <c r="T5" s="376"/>
      <c r="U5" s="224"/>
      <c r="V5" s="225"/>
      <c r="AZ5" s="219" t="s">
        <v>245</v>
      </c>
    </row>
    <row r="6" spans="2:52" ht="6.75" customHeight="1">
      <c r="B6" s="227"/>
      <c r="C6" s="224"/>
      <c r="D6" s="224"/>
      <c r="E6" s="224"/>
      <c r="F6" s="224"/>
      <c r="G6" s="224"/>
      <c r="H6" s="224"/>
      <c r="I6" s="224"/>
      <c r="J6" s="224"/>
      <c r="K6" s="224"/>
      <c r="L6" s="224"/>
      <c r="M6" s="224"/>
      <c r="N6" s="224"/>
      <c r="O6" s="224"/>
      <c r="P6" s="224"/>
      <c r="Q6" s="224"/>
      <c r="R6" s="224"/>
      <c r="S6" s="224"/>
      <c r="T6" s="224"/>
      <c r="U6" s="224"/>
      <c r="V6" s="225"/>
      <c r="AZ6" s="219" t="s">
        <v>245</v>
      </c>
    </row>
    <row r="7" spans="2:58" s="228" customFormat="1" ht="23.25" customHeight="1">
      <c r="B7" s="227"/>
      <c r="C7" s="224"/>
      <c r="D7" s="377" t="s">
        <v>14</v>
      </c>
      <c r="E7" s="377"/>
      <c r="F7" s="377"/>
      <c r="G7" s="377"/>
      <c r="H7" s="377"/>
      <c r="I7" s="229"/>
      <c r="J7" s="378"/>
      <c r="K7" s="378"/>
      <c r="L7" s="378"/>
      <c r="M7" s="378"/>
      <c r="N7" s="378"/>
      <c r="O7" s="378"/>
      <c r="P7" s="378"/>
      <c r="Q7" s="378"/>
      <c r="R7" s="378"/>
      <c r="S7" s="378"/>
      <c r="T7" s="378"/>
      <c r="U7" s="378"/>
      <c r="V7" s="225"/>
      <c r="AZ7" s="219" t="s">
        <v>245</v>
      </c>
      <c r="BB7" s="230"/>
      <c r="BC7" s="230"/>
      <c r="BD7" s="230"/>
      <c r="BE7" s="230"/>
      <c r="BF7" s="230"/>
    </row>
    <row r="8" spans="2:58" s="228" customFormat="1" ht="23.25" customHeight="1">
      <c r="B8" s="227"/>
      <c r="C8" s="224"/>
      <c r="D8" s="377" t="s">
        <v>15</v>
      </c>
      <c r="E8" s="377"/>
      <c r="F8" s="377"/>
      <c r="G8" s="377"/>
      <c r="H8" s="377"/>
      <c r="I8" s="229"/>
      <c r="J8" s="379"/>
      <c r="K8" s="379"/>
      <c r="L8" s="379"/>
      <c r="M8" s="379"/>
      <c r="N8" s="379"/>
      <c r="O8" s="379"/>
      <c r="P8" s="379"/>
      <c r="Q8" s="379"/>
      <c r="R8" s="379"/>
      <c r="S8" s="379"/>
      <c r="T8" s="379"/>
      <c r="U8" s="379"/>
      <c r="V8" s="225"/>
      <c r="AZ8" s="219" t="s">
        <v>245</v>
      </c>
      <c r="BB8" s="230"/>
      <c r="BC8" s="230"/>
      <c r="BD8" s="230"/>
      <c r="BE8" s="230"/>
      <c r="BF8" s="230"/>
    </row>
    <row r="9" spans="2:58" s="228" customFormat="1" ht="23.25" customHeight="1">
      <c r="B9" s="227"/>
      <c r="C9" s="224"/>
      <c r="D9" s="377" t="s">
        <v>111</v>
      </c>
      <c r="E9" s="377"/>
      <c r="F9" s="377"/>
      <c r="G9" s="377"/>
      <c r="H9" s="377"/>
      <c r="I9" s="229"/>
      <c r="J9" s="379"/>
      <c r="K9" s="379"/>
      <c r="L9" s="379"/>
      <c r="M9" s="379"/>
      <c r="N9" s="379"/>
      <c r="O9" s="379"/>
      <c r="P9" s="379"/>
      <c r="Q9" s="379"/>
      <c r="R9" s="379"/>
      <c r="S9" s="379"/>
      <c r="T9" s="379"/>
      <c r="U9" s="379"/>
      <c r="V9" s="225"/>
      <c r="AZ9" s="219" t="s">
        <v>245</v>
      </c>
      <c r="BB9" s="230"/>
      <c r="BC9" s="230"/>
      <c r="BD9" s="230"/>
      <c r="BE9" s="230"/>
      <c r="BF9" s="230"/>
    </row>
    <row r="10" spans="2:58" s="228" customFormat="1" ht="23.25" customHeight="1">
      <c r="B10" s="227"/>
      <c r="C10" s="224"/>
      <c r="D10" s="377" t="s">
        <v>16</v>
      </c>
      <c r="E10" s="377"/>
      <c r="F10" s="377"/>
      <c r="G10" s="377"/>
      <c r="H10" s="377"/>
      <c r="I10" s="229"/>
      <c r="J10" s="378"/>
      <c r="K10" s="378"/>
      <c r="L10" s="378"/>
      <c r="M10" s="378"/>
      <c r="N10" s="378"/>
      <c r="O10" s="229"/>
      <c r="P10" s="229" t="s">
        <v>17</v>
      </c>
      <c r="Q10" s="229"/>
      <c r="R10" s="380"/>
      <c r="S10" s="380"/>
      <c r="T10" s="380"/>
      <c r="U10" s="380"/>
      <c r="V10" s="225"/>
      <c r="AZ10" s="219" t="s">
        <v>245</v>
      </c>
      <c r="BB10" s="230"/>
      <c r="BC10" s="230"/>
      <c r="BD10" s="230"/>
      <c r="BE10" s="230"/>
      <c r="BF10" s="230"/>
    </row>
    <row r="11" spans="2:58" s="228" customFormat="1" ht="6" customHeight="1">
      <c r="B11" s="227"/>
      <c r="C11" s="224"/>
      <c r="D11" s="224"/>
      <c r="E11" s="224"/>
      <c r="F11" s="224"/>
      <c r="G11" s="224"/>
      <c r="H11" s="224"/>
      <c r="I11" s="224"/>
      <c r="J11" s="224"/>
      <c r="K11" s="224"/>
      <c r="L11" s="224"/>
      <c r="M11" s="224"/>
      <c r="N11" s="231"/>
      <c r="O11" s="231"/>
      <c r="P11" s="231"/>
      <c r="Q11" s="231"/>
      <c r="R11" s="231"/>
      <c r="S11" s="231"/>
      <c r="T11" s="232"/>
      <c r="U11" s="224"/>
      <c r="V11" s="225"/>
      <c r="AZ11" s="219" t="s">
        <v>245</v>
      </c>
      <c r="BB11" s="230"/>
      <c r="BC11" s="230"/>
      <c r="BD11" s="230"/>
      <c r="BE11" s="230"/>
      <c r="BF11" s="230"/>
    </row>
    <row r="12" spans="2:52" ht="11.25" customHeight="1">
      <c r="B12" s="227"/>
      <c r="C12" s="224"/>
      <c r="D12" s="224"/>
      <c r="E12" s="224"/>
      <c r="F12" s="224"/>
      <c r="G12" s="224"/>
      <c r="H12" s="224"/>
      <c r="I12" s="224"/>
      <c r="J12" s="224"/>
      <c r="K12" s="224"/>
      <c r="L12" s="224"/>
      <c r="M12" s="224"/>
      <c r="N12" s="224"/>
      <c r="O12" s="224"/>
      <c r="P12" s="224"/>
      <c r="Q12" s="224"/>
      <c r="R12" s="224"/>
      <c r="S12" s="224"/>
      <c r="U12" s="233" t="s">
        <v>500</v>
      </c>
      <c r="V12" s="225"/>
      <c r="AZ12" s="219" t="s">
        <v>245</v>
      </c>
    </row>
    <row r="13" spans="2:52" ht="6" customHeight="1">
      <c r="B13" s="227"/>
      <c r="C13" s="224"/>
      <c r="D13" s="224"/>
      <c r="E13" s="224"/>
      <c r="F13" s="224"/>
      <c r="G13" s="224"/>
      <c r="H13" s="224"/>
      <c r="I13" s="224"/>
      <c r="J13" s="224"/>
      <c r="K13" s="224"/>
      <c r="L13" s="224"/>
      <c r="M13" s="224"/>
      <c r="N13" s="224"/>
      <c r="O13" s="224"/>
      <c r="P13" s="224"/>
      <c r="Q13" s="224"/>
      <c r="R13" s="224"/>
      <c r="S13" s="224"/>
      <c r="T13" s="233"/>
      <c r="U13" s="224"/>
      <c r="V13" s="225"/>
      <c r="AZ13" s="219" t="s">
        <v>245</v>
      </c>
    </row>
    <row r="14" spans="2:52" ht="5.25" customHeight="1">
      <c r="B14" s="227"/>
      <c r="C14" s="234"/>
      <c r="D14" s="235"/>
      <c r="E14" s="235"/>
      <c r="F14" s="235"/>
      <c r="G14" s="235"/>
      <c r="H14" s="235"/>
      <c r="I14" s="235"/>
      <c r="J14" s="235"/>
      <c r="K14" s="235"/>
      <c r="L14" s="235"/>
      <c r="M14" s="235"/>
      <c r="N14" s="235"/>
      <c r="O14" s="235"/>
      <c r="P14" s="235"/>
      <c r="Q14" s="235"/>
      <c r="R14" s="235"/>
      <c r="S14" s="235"/>
      <c r="T14" s="235"/>
      <c r="U14" s="236"/>
      <c r="V14" s="225"/>
      <c r="AZ14" s="219" t="s">
        <v>245</v>
      </c>
    </row>
    <row r="15" spans="2:58" s="228" customFormat="1" ht="11.25" customHeight="1">
      <c r="B15" s="227"/>
      <c r="C15" s="237"/>
      <c r="D15" s="381" t="s">
        <v>112</v>
      </c>
      <c r="E15" s="381"/>
      <c r="F15" s="381"/>
      <c r="G15" s="381"/>
      <c r="H15" s="381"/>
      <c r="I15" s="381"/>
      <c r="J15" s="381"/>
      <c r="K15" s="238"/>
      <c r="M15" s="239"/>
      <c r="N15" s="368" t="s">
        <v>294</v>
      </c>
      <c r="O15" s="224"/>
      <c r="P15" s="224"/>
      <c r="Q15" s="224"/>
      <c r="R15" s="239" t="s">
        <v>18</v>
      </c>
      <c r="S15" s="240"/>
      <c r="T15" s="240"/>
      <c r="U15" s="241"/>
      <c r="V15" s="225"/>
      <c r="AZ15" s="219" t="s">
        <v>245</v>
      </c>
      <c r="BB15" s="230"/>
      <c r="BC15" s="230"/>
      <c r="BD15" s="230"/>
      <c r="BE15" s="230"/>
      <c r="BF15" s="230"/>
    </row>
    <row r="16" spans="2:58" s="228" customFormat="1" ht="9" customHeight="1">
      <c r="B16" s="227"/>
      <c r="C16" s="237"/>
      <c r="D16" s="381"/>
      <c r="E16" s="381"/>
      <c r="F16" s="381"/>
      <c r="G16" s="381"/>
      <c r="H16" s="381"/>
      <c r="I16" s="381"/>
      <c r="J16" s="381"/>
      <c r="K16" s="238"/>
      <c r="L16" s="383">
        <f>IF(AND(J7="Insert Development Name",D21="",D34=""),"",IF(O16="",IF(O18="","Select Peak Hour",""),IF(O18="x","Select Only One Peak Hour","")))</f>
      </c>
      <c r="M16" s="383"/>
      <c r="N16" s="383"/>
      <c r="O16" s="242"/>
      <c r="P16" s="240" t="s">
        <v>295</v>
      </c>
      <c r="Q16" s="224"/>
      <c r="R16" s="384">
        <f>IF(AND(J7="Insert Development Name",D21="",D34=""),"",IF(S16="",IF(S18="","Select Trip Gen Method",""),IF(S18="x","Select Only One Method","")))</f>
      </c>
      <c r="S16" s="242"/>
      <c r="T16" s="240" t="s">
        <v>19</v>
      </c>
      <c r="U16" s="241"/>
      <c r="V16" s="225"/>
      <c r="AZ16" s="219" t="s">
        <v>245</v>
      </c>
      <c r="BB16" s="230"/>
      <c r="BC16" s="230"/>
      <c r="BD16" s="230"/>
      <c r="BE16" s="230"/>
      <c r="BF16" s="230"/>
    </row>
    <row r="17" spans="2:58" s="228" customFormat="1" ht="3" customHeight="1">
      <c r="B17" s="227"/>
      <c r="C17" s="237"/>
      <c r="D17" s="382"/>
      <c r="E17" s="382"/>
      <c r="F17" s="382"/>
      <c r="G17" s="382"/>
      <c r="H17" s="382"/>
      <c r="I17" s="382"/>
      <c r="J17" s="382"/>
      <c r="K17" s="238"/>
      <c r="L17" s="383"/>
      <c r="M17" s="383"/>
      <c r="N17" s="383"/>
      <c r="O17" s="243"/>
      <c r="P17" s="224"/>
      <c r="Q17" s="224"/>
      <c r="R17" s="384"/>
      <c r="S17" s="244"/>
      <c r="T17" s="240"/>
      <c r="U17" s="241"/>
      <c r="V17" s="225"/>
      <c r="AZ17" s="219" t="s">
        <v>245</v>
      </c>
      <c r="BB17" s="230"/>
      <c r="BC17" s="230"/>
      <c r="BD17" s="230"/>
      <c r="BE17" s="230"/>
      <c r="BF17" s="230"/>
    </row>
    <row r="18" spans="2:58" s="228" customFormat="1" ht="9" customHeight="1">
      <c r="B18" s="227"/>
      <c r="C18" s="237"/>
      <c r="D18" s="238"/>
      <c r="E18" s="238"/>
      <c r="F18" s="238"/>
      <c r="G18" s="238"/>
      <c r="H18" s="238"/>
      <c r="I18" s="238"/>
      <c r="J18" s="238"/>
      <c r="K18" s="238"/>
      <c r="L18" s="383"/>
      <c r="M18" s="383"/>
      <c r="N18" s="383"/>
      <c r="O18" s="242" t="s">
        <v>31</v>
      </c>
      <c r="P18" s="240" t="s">
        <v>296</v>
      </c>
      <c r="Q18" s="224"/>
      <c r="R18" s="384"/>
      <c r="S18" s="242" t="s">
        <v>31</v>
      </c>
      <c r="T18" s="240" t="s">
        <v>20</v>
      </c>
      <c r="U18" s="241"/>
      <c r="V18" s="225"/>
      <c r="X18" s="245" t="s">
        <v>316</v>
      </c>
      <c r="Y18" s="245" t="s">
        <v>317</v>
      </c>
      <c r="AA18" s="228" t="s">
        <v>312</v>
      </c>
      <c r="AC18" s="245" t="s">
        <v>318</v>
      </c>
      <c r="AE18" s="385" t="s">
        <v>320</v>
      </c>
      <c r="AF18" s="245" t="s">
        <v>319</v>
      </c>
      <c r="AH18" s="385" t="s">
        <v>320</v>
      </c>
      <c r="AZ18" s="219" t="s">
        <v>245</v>
      </c>
      <c r="BB18" s="230"/>
      <c r="BC18" s="230"/>
      <c r="BD18" s="230"/>
      <c r="BE18" s="230"/>
      <c r="BF18" s="230"/>
    </row>
    <row r="19" spans="2:58" s="228" customFormat="1" ht="5.25" customHeight="1" thickBot="1">
      <c r="B19" s="227"/>
      <c r="C19" s="237"/>
      <c r="D19" s="246"/>
      <c r="E19" s="246"/>
      <c r="F19" s="246"/>
      <c r="G19" s="247"/>
      <c r="H19" s="247"/>
      <c r="I19" s="247"/>
      <c r="J19" s="224"/>
      <c r="K19" s="224"/>
      <c r="L19" s="224"/>
      <c r="M19" s="224"/>
      <c r="N19" s="224"/>
      <c r="O19" s="224"/>
      <c r="P19" s="224"/>
      <c r="Q19" s="224"/>
      <c r="R19" s="224"/>
      <c r="S19" s="224"/>
      <c r="T19" s="224"/>
      <c r="U19" s="241"/>
      <c r="V19" s="225"/>
      <c r="AE19" s="385"/>
      <c r="AH19" s="385"/>
      <c r="AZ19" s="219"/>
      <c r="BB19" s="230"/>
      <c r="BC19" s="230"/>
      <c r="BD19" s="230"/>
      <c r="BE19" s="230"/>
      <c r="BF19" s="230"/>
    </row>
    <row r="20" spans="2:58" s="228" customFormat="1" ht="44.25" customHeight="1">
      <c r="B20" s="227"/>
      <c r="C20" s="237"/>
      <c r="D20" s="248" t="s">
        <v>113</v>
      </c>
      <c r="E20" s="248"/>
      <c r="F20" s="248"/>
      <c r="G20" s="248"/>
      <c r="H20" s="249" t="s">
        <v>21</v>
      </c>
      <c r="I20" s="249"/>
      <c r="J20" s="248" t="s">
        <v>251</v>
      </c>
      <c r="K20" s="248"/>
      <c r="L20" s="249" t="s">
        <v>299</v>
      </c>
      <c r="M20" s="249" t="s">
        <v>499</v>
      </c>
      <c r="N20" s="249" t="s">
        <v>249</v>
      </c>
      <c r="O20" s="248"/>
      <c r="P20" s="365" t="s">
        <v>489</v>
      </c>
      <c r="Q20" s="365" t="s">
        <v>490</v>
      </c>
      <c r="R20" s="249" t="s">
        <v>114</v>
      </c>
      <c r="S20" s="250"/>
      <c r="T20" s="251" t="s">
        <v>491</v>
      </c>
      <c r="U20" s="241"/>
      <c r="V20" s="225"/>
      <c r="X20" s="252" t="s">
        <v>246</v>
      </c>
      <c r="Y20" s="253" t="s">
        <v>310</v>
      </c>
      <c r="Z20" s="253" t="s">
        <v>311</v>
      </c>
      <c r="AA20" s="253" t="s">
        <v>310</v>
      </c>
      <c r="AB20" s="253" t="s">
        <v>311</v>
      </c>
      <c r="AC20" s="245" t="s">
        <v>310</v>
      </c>
      <c r="AD20" s="245" t="s">
        <v>311</v>
      </c>
      <c r="AE20" s="385"/>
      <c r="AF20" s="245" t="s">
        <v>310</v>
      </c>
      <c r="AG20" s="245" t="s">
        <v>311</v>
      </c>
      <c r="AH20" s="385"/>
      <c r="AI20" s="254"/>
      <c r="AZ20" s="219" t="s">
        <v>245</v>
      </c>
      <c r="BB20" s="230"/>
      <c r="BC20" s="230"/>
      <c r="BD20" s="230"/>
      <c r="BE20" s="230"/>
      <c r="BF20" s="230"/>
    </row>
    <row r="21" spans="2:52" ht="17.25" customHeight="1">
      <c r="B21" s="227"/>
      <c r="C21" s="237"/>
      <c r="D21" s="386"/>
      <c r="E21" s="386"/>
      <c r="F21" s="386"/>
      <c r="G21" s="224"/>
      <c r="H21" s="255">
        <f>IF(D21="","",VLOOKUP(D21,'Land Use Chart'!$A$3:$C$80,3,FALSE))</f>
      </c>
      <c r="I21" s="255"/>
      <c r="J21" s="364"/>
      <c r="K21" s="256"/>
      <c r="L21" s="257">
        <f aca="true" t="shared" si="0" ref="L21:L26">IF(D21="","",IF(J21="","",(IF(AND(D21&lt;&gt;"",J21&lt;&gt;""),IF(AND($O$16="X",$O$18="",AB21&lt;&gt;0),AB21,IF(AND($O$16="",$O$18="X",AA21&lt;&gt;0),AA21,IF(AB21=0,"Use PM Peak","Select Peak")))))))</f>
      </c>
      <c r="M21" s="369" t="str">
        <f aca="true" t="shared" si="1" ref="M21:M26">IF(L21=""," ",J21*L21)</f>
        <v> </v>
      </c>
      <c r="N21" s="258">
        <f aca="true" t="shared" si="2" ref="N21:N26">IF(D21="","",IF(J21="","",0))</f>
      </c>
      <c r="O21" s="255"/>
      <c r="P21" s="282">
        <f aca="true" t="shared" si="3" ref="P21:P26">IF(D21&lt;&gt;"",1.5,"")</f>
      </c>
      <c r="Q21" s="366">
        <f>IF(D21&lt;&gt;"",(VLOOKUP(D21,'Land Use Chart'!$A$2:$K$80,11,FALSE)/2),"")</f>
      </c>
      <c r="R21" s="260">
        <f aca="true" t="shared" si="4" ref="R21:R26">IF(D21="","",IF(J21="","",IF(OR(L21="Select Method",L21="Select Peak",L21="Use PM Peak"),"",IF(P21="","Enter Trip Length",(IF(P21&lt;$Z$30,"Short Trip Length",ROUND(J21*L21*(1-N21)*P21,2)))))))</f>
      </c>
      <c r="S21" s="224"/>
      <c r="T21" s="261">
        <f>IF(R21="","",IF(OR(R21="Check Trip Length",R21="Enter Trip Length",R21="Long Trip Length"),"",IF(R21="Short Trip Length","",ROUND(R21*'Summary of Roadway Costs'!$G$20,0))))</f>
      </c>
      <c r="U21" s="241"/>
      <c r="V21" s="225"/>
      <c r="W21" s="219"/>
      <c r="X21" s="262" t="e">
        <f aca="true" t="shared" si="5" ref="X21:X26">MATCH(D21,LU_Name,0)</f>
        <v>#N/A</v>
      </c>
      <c r="Y21" s="263">
        <f aca="true" t="shared" si="6" ref="Y21:Y26">IF(AND(D21&lt;&gt;"",J21&lt;&gt;""),IF(AND($S$16="X",$S$18=""),INDEX(LU_Trip_Rate_2,X21),IF(AND($S$16="",$S$18="X"),IF(INDEX(LU_EQNTYP,X21)="Linear",(1/J21)*((INDEX(LU_EQN_A,X21)*J21)+INDEX(LU_EQN_B,X21))*(1-INDEX(LU_PB,X21)),IF(INDEX(LU_EQNTYP,X21)="Power",(1/J21)*EXP((INDEX(LU_EQN_A,X21)*LN(J21))+INDEX(LU_EQN_B,X21))*(1-INDEX(LU_PB,X21)),INDEX(LU_Trip_Rate_2,X21))),"Select Method")),"")</f>
      </c>
      <c r="Z21" s="263">
        <f aca="true" t="shared" si="7" ref="Z21:Z26">IF(AND(D21&lt;&gt;"",J21&lt;&gt;""),IF(AND($S$16="X",$S$18=""),INDEX(AM_Trip_Rate,X21),IF(AND($S$16="",$S$18="X"),IF(INDEX(AM_Equation_Type,X21)="Linear",(1/J21)*((INDEX(AM_Equation_A,X21)*J21)+INDEX(AM_Equation_B,X21))*(1-INDEX(AM_PB,X21)),IF(INDEX(AM_Equation_Type,X21)="Power",(1/J21)*EXP((INDEX(AM_Equation_A,X21)*LN(J21))+INDEX(AM_Equation_B,X21))*(1-INDEX(AM_PB,X21)),INDEX(AM_Trip_Rate,X21))),"Select Method")),"")</f>
      </c>
      <c r="AA21" s="263">
        <f aca="true" t="shared" si="8" ref="AA21:AA27">IF(Y21="","",IF(Y21&gt;0,Y21,INDEX(LU_Trip_Rate_2,X21)))</f>
      </c>
      <c r="AB21" s="263">
        <f aca="true" t="shared" si="9" ref="AB21:AB27">IF(Z21="","",IF(Z21&gt;0,Z21,INDEX(AM_Trip_Rate,X21)))</f>
      </c>
      <c r="AC21" s="264" t="str">
        <f aca="true" t="shared" si="10" ref="AC21:AD26">IF($S$16="x","",(IF(Y21&lt;&gt;AA21,"Negative - Use Linear","OK")))</f>
        <v>OK</v>
      </c>
      <c r="AD21" s="264" t="str">
        <f t="shared" si="10"/>
        <v>OK</v>
      </c>
      <c r="AE21" s="218" t="str">
        <f aca="true" t="shared" si="11" ref="AE21:AE26">IF($O$16="X",AD21,AC21)</f>
        <v>OK</v>
      </c>
      <c r="AF21" s="218" t="e">
        <f>IF($S$16="x","",IF(VLOOKUP(D21,$AZ$102:$BB$178,3,FALSE)="n/a","No Eq - Use Linear","OK"))</f>
        <v>#N/A</v>
      </c>
      <c r="AG21" s="218" t="e">
        <f>IF($S$16="x","",IF(VLOOKUP(D21,$BL$102:$BN$178,3,FALSE)="n/a","No Eq - Use Linear","OK"))</f>
        <v>#N/A</v>
      </c>
      <c r="AH21" s="218" t="e">
        <f aca="true" t="shared" si="12" ref="AH21:AH26">IF($O$16="X",AG21,AF21)</f>
        <v>#N/A</v>
      </c>
      <c r="AZ21" s="219" t="s">
        <v>245</v>
      </c>
    </row>
    <row r="22" spans="2:52" ht="17.25" customHeight="1">
      <c r="B22" s="227"/>
      <c r="C22" s="237"/>
      <c r="D22" s="387"/>
      <c r="E22" s="386"/>
      <c r="F22" s="386"/>
      <c r="G22" s="224"/>
      <c r="H22" s="255">
        <f>IF(D22="","",VLOOKUP(D22,'Land Use Chart'!$A$3:$C$80,3,FALSE))</f>
      </c>
      <c r="I22" s="255"/>
      <c r="J22" s="364"/>
      <c r="K22" s="256"/>
      <c r="L22" s="257">
        <f t="shared" si="0"/>
      </c>
      <c r="M22" s="369" t="str">
        <f t="shared" si="1"/>
        <v> </v>
      </c>
      <c r="N22" s="258">
        <f t="shared" si="2"/>
      </c>
      <c r="O22" s="255"/>
      <c r="P22" s="282">
        <f t="shared" si="3"/>
      </c>
      <c r="Q22" s="366">
        <f>IF(D22&lt;&gt;"",(VLOOKUP(D22,'Land Use Chart'!$A$2:$K$80,11,FALSE)/2),"")</f>
      </c>
      <c r="R22" s="260">
        <f t="shared" si="4"/>
      </c>
      <c r="S22" s="224"/>
      <c r="T22" s="261">
        <f>IF(R22="","",IF(OR(R22="Check Trip Length",R22="Enter Trip Length",R22="Long Trip Length"),"",IF(R22="Short Trip Length","",ROUND(R22*'Summary of Roadway Costs'!$G$20,0))))</f>
      </c>
      <c r="U22" s="241"/>
      <c r="V22" s="225"/>
      <c r="X22" s="262" t="e">
        <f t="shared" si="5"/>
        <v>#N/A</v>
      </c>
      <c r="Y22" s="263">
        <f t="shared" si="6"/>
      </c>
      <c r="Z22" s="263">
        <f t="shared" si="7"/>
      </c>
      <c r="AA22" s="263">
        <f t="shared" si="8"/>
      </c>
      <c r="AB22" s="263">
        <f t="shared" si="9"/>
      </c>
      <c r="AC22" s="264" t="str">
        <f t="shared" si="10"/>
        <v>OK</v>
      </c>
      <c r="AD22" s="264" t="str">
        <f t="shared" si="10"/>
        <v>OK</v>
      </c>
      <c r="AE22" s="218" t="str">
        <f t="shared" si="11"/>
        <v>OK</v>
      </c>
      <c r="AF22" s="218" t="e">
        <f>IF($S$16="x","",IF(VLOOKUP(D22,$AZ$103:$BE$171,3,FALSE)="n/a","No Eq - Use Linear","OK"))</f>
        <v>#N/A</v>
      </c>
      <c r="AG22" s="218" t="e">
        <f>IF($S$16="x","",IF(VLOOKUP(D22,$BL$104:$BQ$172,3,FALSE)="n/a","No Eq - Use Linear","OK"))</f>
        <v>#N/A</v>
      </c>
      <c r="AH22" s="218" t="e">
        <f t="shared" si="12"/>
        <v>#N/A</v>
      </c>
      <c r="AZ22" s="219" t="s">
        <v>245</v>
      </c>
    </row>
    <row r="23" spans="2:58" s="228" customFormat="1" ht="17.25" customHeight="1">
      <c r="B23" s="227"/>
      <c r="C23" s="237"/>
      <c r="D23" s="386"/>
      <c r="E23" s="386"/>
      <c r="F23" s="386"/>
      <c r="G23" s="224"/>
      <c r="H23" s="255">
        <f>IF(D23="","",VLOOKUP(D23,'Land Use Chart'!$A$3:$C$80,3,FALSE))</f>
      </c>
      <c r="I23" s="255"/>
      <c r="J23" s="364"/>
      <c r="K23" s="256"/>
      <c r="L23" s="257">
        <f t="shared" si="0"/>
      </c>
      <c r="M23" s="369" t="str">
        <f t="shared" si="1"/>
        <v> </v>
      </c>
      <c r="N23" s="258">
        <f t="shared" si="2"/>
      </c>
      <c r="O23" s="255"/>
      <c r="P23" s="282">
        <f t="shared" si="3"/>
      </c>
      <c r="Q23" s="366">
        <f>IF(D23&lt;&gt;"",(VLOOKUP(D23,'Land Use Chart'!$A$2:$K$80,11,FALSE)/2),"")</f>
      </c>
      <c r="R23" s="260">
        <f t="shared" si="4"/>
      </c>
      <c r="S23" s="224"/>
      <c r="T23" s="261">
        <f>IF(R23="","",IF(OR(R23="Check Trip Length",R23="Enter Trip Length",R23="Long Trip Length"),"",IF(R23="Short Trip Length","",ROUND(R23*'Summary of Roadway Costs'!$G$20,0))))</f>
      </c>
      <c r="U23" s="241"/>
      <c r="V23" s="225"/>
      <c r="X23" s="262" t="e">
        <f t="shared" si="5"/>
        <v>#N/A</v>
      </c>
      <c r="Y23" s="263">
        <f t="shared" si="6"/>
      </c>
      <c r="Z23" s="263">
        <f t="shared" si="7"/>
      </c>
      <c r="AA23" s="263">
        <f t="shared" si="8"/>
      </c>
      <c r="AB23" s="263">
        <f t="shared" si="9"/>
      </c>
      <c r="AC23" s="264" t="str">
        <f t="shared" si="10"/>
        <v>OK</v>
      </c>
      <c r="AD23" s="264" t="str">
        <f t="shared" si="10"/>
        <v>OK</v>
      </c>
      <c r="AE23" s="218" t="str">
        <f t="shared" si="11"/>
        <v>OK</v>
      </c>
      <c r="AF23" s="218" t="e">
        <f>IF($S$16="x","",IF(VLOOKUP(D23,$AZ$103:$BE$171,3,FALSE)="n/a","No Eq - Use Linear","OK"))</f>
        <v>#N/A</v>
      </c>
      <c r="AG23" s="218" t="e">
        <f>IF($S$16="x","",IF(VLOOKUP(D23,$BL$104:$BQ$172,3,FALSE)="n/a","No Eq - Use Linear","OK"))</f>
        <v>#N/A</v>
      </c>
      <c r="AH23" s="218" t="e">
        <f t="shared" si="12"/>
        <v>#N/A</v>
      </c>
      <c r="AI23" s="218"/>
      <c r="AZ23" s="219" t="s">
        <v>245</v>
      </c>
      <c r="BB23" s="230"/>
      <c r="BC23" s="230"/>
      <c r="BD23" s="230"/>
      <c r="BE23" s="230"/>
      <c r="BF23" s="230"/>
    </row>
    <row r="24" spans="2:52" ht="17.25" customHeight="1">
      <c r="B24" s="227"/>
      <c r="C24" s="237"/>
      <c r="D24" s="386"/>
      <c r="E24" s="386"/>
      <c r="F24" s="386"/>
      <c r="G24" s="224"/>
      <c r="H24" s="255">
        <f>IF(D24="","",VLOOKUP(D24,'Land Use Chart'!$A$3:$C$80,3,FALSE))</f>
      </c>
      <c r="I24" s="255"/>
      <c r="J24" s="364"/>
      <c r="K24" s="256"/>
      <c r="L24" s="257">
        <f t="shared" si="0"/>
      </c>
      <c r="M24" s="369" t="str">
        <f t="shared" si="1"/>
        <v> </v>
      </c>
      <c r="N24" s="258">
        <f t="shared" si="2"/>
      </c>
      <c r="O24" s="255"/>
      <c r="P24" s="282">
        <f t="shared" si="3"/>
      </c>
      <c r="Q24" s="366">
        <f>IF(D24&lt;&gt;"",(VLOOKUP(D24,'Land Use Chart'!$A$2:$K$80,11,FALSE)/2),"")</f>
      </c>
      <c r="R24" s="260">
        <f t="shared" si="4"/>
      </c>
      <c r="S24" s="224"/>
      <c r="T24" s="261">
        <f>IF(R24="","",IF(OR(R24="Check Trip Length",R24="Enter Trip Length",R24="Long Trip Length"),"",IF(R24="Short Trip Length","",ROUND(R24*'Summary of Roadway Costs'!$G$20,0))))</f>
      </c>
      <c r="U24" s="241"/>
      <c r="V24" s="225"/>
      <c r="X24" s="262" t="e">
        <f t="shared" si="5"/>
        <v>#N/A</v>
      </c>
      <c r="Y24" s="263">
        <f t="shared" si="6"/>
      </c>
      <c r="Z24" s="263">
        <f t="shared" si="7"/>
      </c>
      <c r="AA24" s="263">
        <f t="shared" si="8"/>
      </c>
      <c r="AB24" s="263">
        <f t="shared" si="9"/>
      </c>
      <c r="AC24" s="264" t="str">
        <f t="shared" si="10"/>
        <v>OK</v>
      </c>
      <c r="AD24" s="264" t="str">
        <f t="shared" si="10"/>
        <v>OK</v>
      </c>
      <c r="AE24" s="218" t="str">
        <f t="shared" si="11"/>
        <v>OK</v>
      </c>
      <c r="AF24" s="218" t="e">
        <f>IF($S$16="x","",IF(VLOOKUP(D24,$AZ$103:$BE$171,3,FALSE)="n/a","No Eq - Use Linear","OK"))</f>
        <v>#N/A</v>
      </c>
      <c r="AG24" s="218" t="e">
        <f>IF($S$16="x","",IF(VLOOKUP(D24,$BL$104:$BQ$172,3,FALSE)="n/a","No Eq - Use Linear","OK"))</f>
        <v>#N/A</v>
      </c>
      <c r="AH24" s="218" t="e">
        <f t="shared" si="12"/>
        <v>#N/A</v>
      </c>
      <c r="AZ24" s="219" t="s">
        <v>245</v>
      </c>
    </row>
    <row r="25" spans="2:52" ht="17.25" customHeight="1">
      <c r="B25" s="227"/>
      <c r="C25" s="237"/>
      <c r="D25" s="386"/>
      <c r="E25" s="386"/>
      <c r="F25" s="386"/>
      <c r="G25" s="224"/>
      <c r="H25" s="255">
        <f>IF(D25="","",VLOOKUP(D25,'Land Use Chart'!$A$3:$C$80,3,FALSE))</f>
      </c>
      <c r="I25" s="255"/>
      <c r="J25" s="364"/>
      <c r="K25" s="256"/>
      <c r="L25" s="257">
        <f t="shared" si="0"/>
      </c>
      <c r="M25" s="369" t="str">
        <f t="shared" si="1"/>
        <v> </v>
      </c>
      <c r="N25" s="258">
        <f t="shared" si="2"/>
      </c>
      <c r="O25" s="255"/>
      <c r="P25" s="282">
        <f t="shared" si="3"/>
      </c>
      <c r="Q25" s="366">
        <f>IF(D25&lt;&gt;"",(VLOOKUP(D25,'Land Use Chart'!$A$2:$K$80,11,FALSE)/2),"")</f>
      </c>
      <c r="R25" s="260">
        <f t="shared" si="4"/>
      </c>
      <c r="S25" s="224"/>
      <c r="T25" s="261">
        <f>IF(R25="","",IF(OR(R25="Check Trip Length",R25="Enter Trip Length",R25="Long Trip Length"),"",IF(R25="Short Trip Length","",ROUND(R25*'Summary of Roadway Costs'!$G$20,0))))</f>
      </c>
      <c r="U25" s="241"/>
      <c r="V25" s="225"/>
      <c r="X25" s="262" t="e">
        <f t="shared" si="5"/>
        <v>#N/A</v>
      </c>
      <c r="Y25" s="263">
        <f t="shared" si="6"/>
      </c>
      <c r="Z25" s="263">
        <f t="shared" si="7"/>
      </c>
      <c r="AA25" s="263">
        <f t="shared" si="8"/>
      </c>
      <c r="AB25" s="263">
        <f t="shared" si="9"/>
      </c>
      <c r="AC25" s="264" t="str">
        <f t="shared" si="10"/>
        <v>OK</v>
      </c>
      <c r="AD25" s="264" t="str">
        <f t="shared" si="10"/>
        <v>OK</v>
      </c>
      <c r="AE25" s="218" t="str">
        <f t="shared" si="11"/>
        <v>OK</v>
      </c>
      <c r="AF25" s="218" t="e">
        <f>IF($S$16="x","",IF(VLOOKUP(D25,$AZ$103:$BE$171,3,FALSE)="n/a","No Eq - Use Linear","OK"))</f>
        <v>#N/A</v>
      </c>
      <c r="AG25" s="218" t="e">
        <f>IF($S$16="x","",IF(VLOOKUP(D25,$BL$104:$BQ$172,3,FALSE)="n/a","No Eq - Use Linear","OK"))</f>
        <v>#N/A</v>
      </c>
      <c r="AH25" s="218" t="e">
        <f t="shared" si="12"/>
        <v>#N/A</v>
      </c>
      <c r="AZ25" s="219"/>
    </row>
    <row r="26" spans="2:52" ht="17.25" customHeight="1">
      <c r="B26" s="227"/>
      <c r="C26" s="237"/>
      <c r="D26" s="386"/>
      <c r="E26" s="386"/>
      <c r="F26" s="386"/>
      <c r="G26" s="224"/>
      <c r="H26" s="255">
        <f>IF(D26="","",VLOOKUP(D26,'Land Use Chart'!$A$3:$C$80,3,FALSE))</f>
      </c>
      <c r="I26" s="255"/>
      <c r="J26" s="364"/>
      <c r="K26" s="256"/>
      <c r="L26" s="257">
        <f t="shared" si="0"/>
      </c>
      <c r="M26" s="369" t="str">
        <f t="shared" si="1"/>
        <v> </v>
      </c>
      <c r="N26" s="258">
        <f t="shared" si="2"/>
      </c>
      <c r="O26" s="255"/>
      <c r="P26" s="282">
        <f t="shared" si="3"/>
      </c>
      <c r="Q26" s="366">
        <f>IF(D26&lt;&gt;"",(VLOOKUP(D26,'Land Use Chart'!$A$2:$K$80,11,FALSE)/2),"")</f>
      </c>
      <c r="R26" s="260">
        <f t="shared" si="4"/>
      </c>
      <c r="S26" s="224"/>
      <c r="T26" s="261">
        <f>IF(R26="","",IF(OR(R26="Check Trip Length",R26="Enter Trip Length",R26="Long Trip Length"),"",IF(R26="Short Trip Length","",ROUND(R26*'Summary of Roadway Costs'!$G$20,0))))</f>
      </c>
      <c r="U26" s="241"/>
      <c r="V26" s="225"/>
      <c r="X26" s="262" t="e">
        <f t="shared" si="5"/>
        <v>#N/A</v>
      </c>
      <c r="Y26" s="263">
        <f t="shared" si="6"/>
      </c>
      <c r="Z26" s="263">
        <f t="shared" si="7"/>
      </c>
      <c r="AA26" s="263">
        <f t="shared" si="8"/>
      </c>
      <c r="AB26" s="263">
        <f t="shared" si="9"/>
      </c>
      <c r="AC26" s="264" t="str">
        <f t="shared" si="10"/>
        <v>OK</v>
      </c>
      <c r="AD26" s="264" t="str">
        <f t="shared" si="10"/>
        <v>OK</v>
      </c>
      <c r="AE26" s="218" t="str">
        <f t="shared" si="11"/>
        <v>OK</v>
      </c>
      <c r="AF26" s="218" t="e">
        <f>IF($S$16="x","",IF(VLOOKUP(D26,$AZ$103:$BE$171,3,FALSE)="n/a","No Eq - Use Linear","OK"))</f>
        <v>#N/A</v>
      </c>
      <c r="AG26" s="218" t="e">
        <f>IF($S$16="x","",IF(VLOOKUP(D26,$BL$104:$BQ$172,3,FALSE)="n/a","No Eq - Use Linear","OK"))</f>
        <v>#N/A</v>
      </c>
      <c r="AH26" s="218" t="e">
        <f t="shared" si="12"/>
        <v>#N/A</v>
      </c>
      <c r="AZ26" s="219" t="s">
        <v>245</v>
      </c>
    </row>
    <row r="27" spans="2:52" ht="9" customHeight="1">
      <c r="B27" s="227"/>
      <c r="C27" s="237"/>
      <c r="D27" s="240"/>
      <c r="E27" s="240"/>
      <c r="F27" s="240"/>
      <c r="G27" s="224"/>
      <c r="H27" s="255"/>
      <c r="I27" s="255"/>
      <c r="J27" s="224"/>
      <c r="K27" s="224"/>
      <c r="L27" s="256"/>
      <c r="M27" s="224"/>
      <c r="N27" s="255"/>
      <c r="O27" s="255"/>
      <c r="P27" s="265"/>
      <c r="Q27" s="255"/>
      <c r="R27" s="257"/>
      <c r="S27" s="224"/>
      <c r="T27" s="261"/>
      <c r="U27" s="241"/>
      <c r="V27" s="225"/>
      <c r="Y27" s="220"/>
      <c r="Z27" s="220"/>
      <c r="AA27" s="220">
        <f t="shared" si="8"/>
      </c>
      <c r="AB27" s="220">
        <f t="shared" si="9"/>
      </c>
      <c r="AC27" s="218">
        <f>IF(Y27="","",IF($O$16="x",VLOOKUP(D27,$AZ$103:$BF$171,3,FALSE),VLOOKUP(D27,$BL$101:$BN$172,3,FALSE)))</f>
      </c>
      <c r="AZ27" s="219" t="s">
        <v>245</v>
      </c>
    </row>
    <row r="28" spans="2:52" ht="36.75" customHeight="1">
      <c r="B28" s="227"/>
      <c r="C28" s="237"/>
      <c r="D28" s="388" t="s">
        <v>458</v>
      </c>
      <c r="E28" s="388"/>
      <c r="F28" s="388"/>
      <c r="G28" s="388"/>
      <c r="H28" s="388"/>
      <c r="I28" s="388"/>
      <c r="J28" s="388"/>
      <c r="K28" s="388"/>
      <c r="L28" s="388"/>
      <c r="M28" s="388"/>
      <c r="N28" s="388"/>
      <c r="O28" s="388"/>
      <c r="P28" s="388"/>
      <c r="Q28" s="255"/>
      <c r="R28" s="257"/>
      <c r="S28" s="224"/>
      <c r="T28" s="266"/>
      <c r="U28" s="241"/>
      <c r="V28" s="225"/>
      <c r="Y28" s="220"/>
      <c r="Z28" s="220"/>
      <c r="AA28" s="220"/>
      <c r="AB28" s="220"/>
      <c r="AZ28" s="219"/>
    </row>
    <row r="29" spans="2:52" ht="16.5" customHeight="1">
      <c r="B29" s="227"/>
      <c r="C29" s="237"/>
      <c r="D29" s="397"/>
      <c r="E29" s="390"/>
      <c r="F29" s="391"/>
      <c r="G29" s="224"/>
      <c r="H29" s="267"/>
      <c r="I29" s="255"/>
      <c r="J29" s="267"/>
      <c r="K29" s="224"/>
      <c r="L29" s="268"/>
      <c r="M29" s="369" t="str">
        <f>IF(L29=""," ",J29*L29)</f>
        <v> </v>
      </c>
      <c r="N29" s="258">
        <f>IF(D29="","",IF(J29="","",0))</f>
      </c>
      <c r="O29" s="255"/>
      <c r="P29" s="259"/>
      <c r="Q29" s="255"/>
      <c r="R29" s="260">
        <f>IF(D29="","",IF(J29="","",IF(L29="","",IF(P29="","Enter Trip Length",(IF(P29&lt;0.5,"Short Trip Length",IF(P29&gt;1.5,"Long Trip Length",ROUND(J29*L29*(1-N29)*P29,2))))))))</f>
      </c>
      <c r="S29" s="224"/>
      <c r="T29" s="261">
        <f>IF(R29="","",IF(OR(R29="Enter Trip Length",R29="Long Trip Length"),"",IF(R29="Short Trip Length","",ROUND(R29*'Summary of Roadway Costs'!$G$20,0))))</f>
      </c>
      <c r="U29" s="241"/>
      <c r="V29" s="225"/>
      <c r="Y29" s="220"/>
      <c r="Z29" s="220"/>
      <c r="AA29" s="220"/>
      <c r="AB29" s="220"/>
      <c r="AZ29" s="219"/>
    </row>
    <row r="30" spans="2:52" ht="17.25" customHeight="1">
      <c r="B30" s="227"/>
      <c r="C30" s="237"/>
      <c r="D30" s="389"/>
      <c r="E30" s="390"/>
      <c r="F30" s="391"/>
      <c r="G30" s="224"/>
      <c r="H30" s="267"/>
      <c r="I30" s="255"/>
      <c r="J30" s="267"/>
      <c r="K30" s="224"/>
      <c r="L30" s="268"/>
      <c r="M30" s="369" t="str">
        <f>IF(L30=""," ",J30*L30)</f>
        <v> </v>
      </c>
      <c r="N30" s="258">
        <f>IF(D30="","",IF(J30="","",0))</f>
      </c>
      <c r="O30" s="255"/>
      <c r="P30" s="259"/>
      <c r="Q30" s="255"/>
      <c r="R30" s="260">
        <f>IF(D30="","",IF(J30="","",IF(L30="","",IF(P30="","Enter Trip Length",(IF(P30&lt;0.5,"Short Trip Length",IF(P30&gt;1.5,"Long Trip Length",ROUND(J30*L30*(1-N30)*P30,2))))))))</f>
      </c>
      <c r="S30" s="224"/>
      <c r="T30" s="261">
        <f>IF(R30="","",IF(OR(R30="Enter Trip Length",R30="Long Trip Length"),"",IF(R30="Short Trip Length","",ROUND(R30*'Summary of Roadway Costs'!$G$20,0))))</f>
      </c>
      <c r="U30" s="241"/>
      <c r="V30" s="225"/>
      <c r="Y30" s="220" t="s">
        <v>453</v>
      </c>
      <c r="Z30" s="220">
        <v>0.5</v>
      </c>
      <c r="AA30" s="220"/>
      <c r="AB30" s="220"/>
      <c r="AZ30" s="219"/>
    </row>
    <row r="31" spans="2:52" ht="9" customHeight="1" hidden="1">
      <c r="B31" s="227"/>
      <c r="C31" s="237"/>
      <c r="D31" s="240"/>
      <c r="E31" s="240"/>
      <c r="F31" s="240"/>
      <c r="G31" s="224"/>
      <c r="H31" s="255"/>
      <c r="I31" s="255"/>
      <c r="J31" s="224"/>
      <c r="K31" s="224"/>
      <c r="L31" s="256"/>
      <c r="M31" s="224"/>
      <c r="N31" s="255"/>
      <c r="O31" s="255"/>
      <c r="P31" s="265"/>
      <c r="Q31" s="255"/>
      <c r="R31" s="257"/>
      <c r="S31" s="224"/>
      <c r="T31" s="266"/>
      <c r="U31" s="241"/>
      <c r="V31" s="225"/>
      <c r="Y31" s="220" t="s">
        <v>454</v>
      </c>
      <c r="Z31" s="220">
        <v>6</v>
      </c>
      <c r="AA31" s="220"/>
      <c r="AB31" s="220"/>
      <c r="AZ31" s="219"/>
    </row>
    <row r="32" spans="2:58" s="228" customFormat="1" ht="16.5" customHeight="1" hidden="1" thickBot="1">
      <c r="B32" s="227"/>
      <c r="C32" s="237"/>
      <c r="D32" s="269" t="s">
        <v>115</v>
      </c>
      <c r="E32" s="269"/>
      <c r="F32" s="269"/>
      <c r="G32" s="270"/>
      <c r="H32" s="270"/>
      <c r="I32" s="270"/>
      <c r="J32" s="271"/>
      <c r="K32" s="271"/>
      <c r="L32" s="271"/>
      <c r="M32" s="271"/>
      <c r="N32" s="271"/>
      <c r="O32" s="271"/>
      <c r="P32" s="271"/>
      <c r="Q32" s="271"/>
      <c r="R32" s="271"/>
      <c r="S32" s="272"/>
      <c r="T32" s="273">
        <f>SUM(T21:T26)</f>
        <v>0</v>
      </c>
      <c r="U32" s="241"/>
      <c r="V32" s="225"/>
      <c r="X32" s="218"/>
      <c r="AA32" s="230"/>
      <c r="AB32" s="220">
        <f aca="true" t="shared" si="13" ref="AB32:AB38">IF(Z32="","",IF(Z32&gt;0,Z32,INDEX(AM_Trip_Rate,X32)))</f>
      </c>
      <c r="AC32" s="218">
        <f aca="true" t="shared" si="14" ref="AC32:AC39">IF(Y32="","",IF($O$16="x",VLOOKUP(D32,$AZ$103:$BF$171,3,FALSE),VLOOKUP(D32,$BL$101:$BN$172,3,FALSE)))</f>
      </c>
      <c r="AZ32" s="219" t="s">
        <v>245</v>
      </c>
      <c r="BB32" s="230"/>
      <c r="BC32" s="230"/>
      <c r="BD32" s="230"/>
      <c r="BE32" s="230"/>
      <c r="BF32" s="230"/>
    </row>
    <row r="33" spans="2:58" s="228" customFormat="1" ht="39.75" customHeight="1" hidden="1" thickBot="1">
      <c r="B33" s="227"/>
      <c r="C33" s="237"/>
      <c r="D33" s="274" t="s">
        <v>116</v>
      </c>
      <c r="E33" s="274"/>
      <c r="F33" s="275" t="s">
        <v>22</v>
      </c>
      <c r="G33" s="274"/>
      <c r="H33" s="275" t="s">
        <v>21</v>
      </c>
      <c r="I33" s="275"/>
      <c r="J33" s="274"/>
      <c r="K33" s="274"/>
      <c r="L33" s="249" t="s">
        <v>252</v>
      </c>
      <c r="M33" s="275" t="s">
        <v>248</v>
      </c>
      <c r="N33" s="249" t="s">
        <v>499</v>
      </c>
      <c r="O33" s="274"/>
      <c r="P33" s="275" t="s">
        <v>249</v>
      </c>
      <c r="Q33" s="274"/>
      <c r="R33" s="275" t="s">
        <v>250</v>
      </c>
      <c r="S33" s="276"/>
      <c r="T33" s="277" t="s">
        <v>114</v>
      </c>
      <c r="U33" s="241"/>
      <c r="V33" s="225"/>
      <c r="X33" s="278" t="s">
        <v>247</v>
      </c>
      <c r="AA33" s="230"/>
      <c r="AB33" s="220">
        <f t="shared" si="13"/>
      </c>
      <c r="AC33" s="218">
        <f t="shared" si="14"/>
      </c>
      <c r="AZ33" s="219" t="s">
        <v>245</v>
      </c>
      <c r="BB33" s="230"/>
      <c r="BC33" s="230"/>
      <c r="BD33" s="230"/>
      <c r="BE33" s="230"/>
      <c r="BF33" s="230"/>
    </row>
    <row r="34" spans="2:52" ht="17.25" customHeight="1" hidden="1">
      <c r="B34" s="227"/>
      <c r="C34" s="237"/>
      <c r="D34" s="279"/>
      <c r="E34" s="240"/>
      <c r="F34" s="279"/>
      <c r="G34" s="280">
        <f>IF(D34="","",VLOOKUP(D34,#REF!,6,FALSE))</f>
      </c>
      <c r="H34" s="255">
        <f>IF(D34="","",VLOOKUP(D34,#REF!,2,FALSE))</f>
      </c>
      <c r="I34" s="255"/>
      <c r="J34" s="224"/>
      <c r="K34" s="224"/>
      <c r="L34" s="256">
        <f>IF(F34="","",IF(D34="","",IF(OR(D34="RD-5",D34="NR-1",D34="NR-2",D34="NR-3",D34="NR-4",D34="NR-6",D34="NRMU-12",D34="NRMU",D34="DR-1",D34="DR-2",D34="RCR-1",D34="RCR-2"),IF(ROUND((VLOOKUP(D34,#REF!,3,FALSE)*F34),0)=0,1,ROUND((VLOOKUP(D34,#REF!,3,FALSE)*F34),0)),ROUND((VLOOKUP(D34,#REF!,3,FALSE)*F34*43.56),2))))</f>
      </c>
      <c r="M34" s="257">
        <f>IF(AND(D34&lt;&gt;"",L34&lt;&gt;""),IF(AND($S$16="X",$S$18=""),INDEX(LU_Trip_Rate,X34),IF(AND($S$16="",$S$18="X"),IF(INDEX(LU_EQNTYP,X34)="Linear",(1/L34)*((INDEX(LU_EQN_A,X34)*L34)+INDEX(LU_EQN_B,X34))*(1-INDEX(LU_PB,X34)),IF(INDEX(LU_EQNTYP,X34)="Power",(1/L34)*EXP((INDEX(LU_EQN_A,X34)*LN(L34))+INDEX(LU_EQN_B,X34))*(1-INDEX(LU_PB,X34)),INDEX(LU_Trip_Rate,X34))),"Select Method")),"")</f>
      </c>
      <c r="N34" s="366" t="str">
        <f>IF(M34=""," ",L34*M34)</f>
        <v> </v>
      </c>
      <c r="O34" s="255"/>
      <c r="P34" s="281">
        <f>IF(D34="","",IF(F34="","",0))</f>
      </c>
      <c r="Q34" s="255"/>
      <c r="R34" s="282"/>
      <c r="S34" s="224"/>
      <c r="T34" s="266">
        <f>IF(D34="","",(IF(F34="","",(IF((VLOOKUP(D34,#REF!,5,FALSE)&gt;R34),IF(L34="","",ROUND(L34*M34*(1-P34)*R34,2)),"Check Trip Length")))))</f>
      </c>
      <c r="U34" s="241"/>
      <c r="V34" s="225"/>
      <c r="X34" s="262" t="e">
        <f>MATCH(INDEX(#REF!,MATCH(D34,ZC,0)),LU_Name,0)</f>
        <v>#REF!</v>
      </c>
      <c r="AA34" s="220"/>
      <c r="AB34" s="220">
        <f t="shared" si="13"/>
      </c>
      <c r="AC34" s="218">
        <f t="shared" si="14"/>
      </c>
      <c r="AZ34" s="219" t="s">
        <v>245</v>
      </c>
    </row>
    <row r="35" spans="2:52" ht="17.25" customHeight="1" hidden="1">
      <c r="B35" s="227"/>
      <c r="C35" s="237"/>
      <c r="D35" s="279"/>
      <c r="E35" s="240"/>
      <c r="F35" s="279"/>
      <c r="G35" s="280">
        <f>IF(D35="","",VLOOKUP(D35,#REF!,6,FALSE))</f>
      </c>
      <c r="H35" s="255">
        <f>IF(D35="","",VLOOKUP(D35,#REF!,2,FALSE))</f>
      </c>
      <c r="I35" s="255"/>
      <c r="J35" s="224"/>
      <c r="K35" s="224"/>
      <c r="L35" s="256">
        <f>IF(F35="","",IF(D35="","",IF(OR(D35="RD-5",D35="NR-1",D35="NR-2",D35="NR-3",D35="NR-4",D35="NR-6",D35="NRMU-12",D35="NRMU",D35="DR-1",D35="DR-2",D35="RCR-1",D35="RCR-2"),ROUND((VLOOKUP(D35,#REF!,3,FALSE)*F35),0),ROUND((VLOOKUP(D35,#REF!,3,FALSE)*F35*43.56),2))))</f>
      </c>
      <c r="M35" s="257">
        <f>IF(AND(D35&lt;&gt;"",L35&lt;&gt;""),IF(AND($S$16="X",$S$18=""),INDEX(LU_Trip_Rate,X35),IF(AND($S$16="",$S$18="X"),IF(INDEX(LU_EQNTYP,X35)="Linear",(1/L35)*((INDEX(LU_EQN_A,X35)*L35)+INDEX(LU_EQN_B,X35))*(1-INDEX(LU_PB,X35)),IF(INDEX(LU_EQNTYP,X35)="Power",(1/L35)*EXP((INDEX(LU_EQN_A,X35)*LN(L35))+INDEX(LU_EQN_B,X35))*(1-INDEX(LU_PB,X35)),INDEX(LU_Trip_Rate,X35))),"Select Method")),"")</f>
      </c>
      <c r="N35" s="366" t="str">
        <f>IF(M35=""," ",L35*M35)</f>
        <v> </v>
      </c>
      <c r="O35" s="255"/>
      <c r="P35" s="281">
        <f>IF(D35="","",IF(F35="","",0))</f>
      </c>
      <c r="Q35" s="255"/>
      <c r="R35" s="282"/>
      <c r="S35" s="224"/>
      <c r="T35" s="266">
        <f>IF(D35="","",(IF(F35="","",(IF((VLOOKUP(D35,#REF!,5,FALSE)&gt;R35),IF(L35="","",ROUND(L35*M35*(1-P35)*R35,2)),"Check Trip Length")))))</f>
      </c>
      <c r="U35" s="241"/>
      <c r="V35" s="225"/>
      <c r="X35" s="262" t="e">
        <f>MATCH(INDEX(#REF!,MATCH(D35,ZC,0)),LU_Name,0)</f>
        <v>#REF!</v>
      </c>
      <c r="AA35" s="220"/>
      <c r="AB35" s="220">
        <f t="shared" si="13"/>
      </c>
      <c r="AC35" s="218">
        <f t="shared" si="14"/>
      </c>
      <c r="AZ35" s="219" t="s">
        <v>245</v>
      </c>
    </row>
    <row r="36" spans="2:52" ht="17.25" customHeight="1" hidden="1">
      <c r="B36" s="227"/>
      <c r="C36" s="237"/>
      <c r="D36" s="279"/>
      <c r="E36" s="240"/>
      <c r="F36" s="279"/>
      <c r="G36" s="280">
        <f>IF(D36="","",VLOOKUP(D36,#REF!,6,FALSE))</f>
      </c>
      <c r="H36" s="255">
        <f>IF(D36="","",VLOOKUP(D36,#REF!,2,FALSE))</f>
      </c>
      <c r="I36" s="255"/>
      <c r="J36" s="224"/>
      <c r="K36" s="224"/>
      <c r="L36" s="256">
        <f>IF(F36="","",IF(D36="","",IF(OR(D36="RD-5",D36="NR-1",D36="NR-2",D36="NR-3",D36="NR-4",D36="NR-6",D36="NRMU-12",D36="NRMU",D36="DR-1",D36="DR-2",D36="RCR-1",D36="RCR-2"),ROUND((VLOOKUP(D36,#REF!,3,FALSE)*F36),0),ROUND((VLOOKUP(D36,#REF!,3,FALSE)*F36*43.56),2))))</f>
      </c>
      <c r="M36" s="257">
        <f>IF(AND(D36&lt;&gt;"",L36&lt;&gt;""),IF(AND($S$16="X",$S$18=""),INDEX(LU_Trip_Rate,X36),IF(AND($S$16="",$S$18="X"),IF(INDEX(LU_EQNTYP,X36)="Linear",(1/L36)*((INDEX(LU_EQN_A,X36)*L36)+INDEX(LU_EQN_B,X36))*(1-INDEX(LU_PB,X36)),IF(INDEX(LU_EQNTYP,X36)="Power",(1/L36)*EXP((INDEX(LU_EQN_A,X36)*LN(L36))+INDEX(LU_EQN_B,X36))*(1-INDEX(LU_PB,X36)),INDEX(LU_Trip_Rate,X36))),"Select Method")),"")</f>
      </c>
      <c r="N36" s="366" t="str">
        <f>IF(M36=""," ",L36*M36)</f>
        <v> </v>
      </c>
      <c r="O36" s="255"/>
      <c r="P36" s="281">
        <f>IF(D36="","",IF(F36="","",0))</f>
      </c>
      <c r="Q36" s="255"/>
      <c r="R36" s="282"/>
      <c r="S36" s="224"/>
      <c r="T36" s="266">
        <f>IF(D36="","",(IF(F36="","",(IF((VLOOKUP(D36,#REF!,5,FALSE)&gt;R36),IF(L36="","",ROUND(L36*M36*(1-P36)*R36,2)),"Check Trip Length")))))</f>
      </c>
      <c r="U36" s="241"/>
      <c r="V36" s="225"/>
      <c r="X36" s="262" t="e">
        <f>MATCH(INDEX(#REF!,MATCH(D36,ZC,0)),LU_Name,0)</f>
        <v>#REF!</v>
      </c>
      <c r="AA36" s="220"/>
      <c r="AB36" s="220">
        <f t="shared" si="13"/>
      </c>
      <c r="AC36" s="218">
        <f t="shared" si="14"/>
      </c>
      <c r="AZ36" s="219" t="s">
        <v>245</v>
      </c>
    </row>
    <row r="37" spans="2:52" ht="17.25" customHeight="1" hidden="1">
      <c r="B37" s="227"/>
      <c r="C37" s="237"/>
      <c r="D37" s="279"/>
      <c r="E37" s="240"/>
      <c r="F37" s="279"/>
      <c r="G37" s="280">
        <f>IF(D37="","",VLOOKUP(D37,#REF!,6,FALSE))</f>
      </c>
      <c r="H37" s="255">
        <f>IF(D37="","",VLOOKUP(D37,#REF!,2,FALSE))</f>
      </c>
      <c r="I37" s="255"/>
      <c r="J37" s="224"/>
      <c r="K37" s="224"/>
      <c r="L37" s="256">
        <f>IF(F37="","",IF(D37="","",IF(OR(D37="RD-5",D37="NR-1",D37="NR-2",D37="NR-3",D37="NR-4",D37="NR-6",D37="NRMU-12",D37="NRMU",D37="DR-1",D37="DR-2",D37="RCR-1",D37="RCR-2"),ROUND((VLOOKUP(D37,#REF!,3,FALSE)*F37),0),ROUND((VLOOKUP(D37,#REF!,3,FALSE)*F37*43.56),2))))</f>
      </c>
      <c r="M37" s="257">
        <f>IF(AND(D37&lt;&gt;"",L37&lt;&gt;""),IF(AND($S$16="X",$S$18=""),INDEX(LU_Trip_Rate,X37),IF(AND($S$16="",$S$18="X"),IF(INDEX(LU_EQNTYP,X37)="Linear",(1/L37)*((INDEX(LU_EQN_A,X37)*L37)+INDEX(LU_EQN_B,X37))*(1-INDEX(LU_PB,X37)),IF(INDEX(LU_EQNTYP,X37)="Power",(1/L37)*EXP((INDEX(LU_EQN_A,X37)*LN(L37))+INDEX(LU_EQN_B,X37))*(1-INDEX(LU_PB,X37)),INDEX(LU_Trip_Rate,X37))),"Select Method")),"")</f>
      </c>
      <c r="N37" s="366" t="str">
        <f>IF(M37=""," ",L37*M37)</f>
        <v> </v>
      </c>
      <c r="O37" s="255"/>
      <c r="P37" s="281">
        <f>IF(D37="","",IF(F37="","",0))</f>
      </c>
      <c r="Q37" s="255"/>
      <c r="R37" s="282"/>
      <c r="S37" s="224"/>
      <c r="T37" s="266">
        <f>IF(D37="","",(IF(F37="","",(IF((VLOOKUP(D37,#REF!,5,FALSE)&gt;R37),IF(L37="","",ROUND(L37*M37*(1-P37)*R37,2)),"Check Trip Length")))))</f>
      </c>
      <c r="U37" s="241"/>
      <c r="V37" s="225"/>
      <c r="X37" s="262" t="e">
        <f>MATCH(INDEX(#REF!,MATCH(D37,ZC,0)),LU_Name,0)</f>
        <v>#REF!</v>
      </c>
      <c r="AA37" s="220"/>
      <c r="AB37" s="220">
        <f t="shared" si="13"/>
      </c>
      <c r="AC37" s="218">
        <f t="shared" si="14"/>
      </c>
      <c r="AZ37" s="219" t="s">
        <v>245</v>
      </c>
    </row>
    <row r="38" spans="2:52" ht="17.25" customHeight="1" hidden="1" thickBot="1">
      <c r="B38" s="227"/>
      <c r="C38" s="237"/>
      <c r="D38" s="279"/>
      <c r="E38" s="240"/>
      <c r="F38" s="279"/>
      <c r="G38" s="280">
        <f>IF(D38="","",VLOOKUP(D38,#REF!,6,FALSE))</f>
      </c>
      <c r="H38" s="255">
        <f>IF(D38="","",VLOOKUP(D38,#REF!,2,FALSE))</f>
      </c>
      <c r="I38" s="255"/>
      <c r="J38" s="224"/>
      <c r="K38" s="224"/>
      <c r="L38" s="256">
        <f>IF(F38="","",IF(D38="","",IF(OR(D38="RD-5",D38="NR-1",D38="NR-2",D38="NR-3",D38="NR-4",D38="NR-6",D38="NRMU-12",D38="NRMU",D38="DR-1",D38="DR-2",D38="RCR-1",D38="RCR-2"),ROUND((VLOOKUP(D38,#REF!,3,FALSE)*F38),0),ROUND((VLOOKUP(D38,#REF!,3,FALSE)*F38*43.56),2))))</f>
      </c>
      <c r="M38" s="257">
        <f>IF(AND(D38&lt;&gt;"",L38&lt;&gt;""),IF(AND($S$16="X",$S$18=""),INDEX(LU_Trip_Rate,X38),IF(AND($S$16="",$S$18="X"),IF(INDEX(LU_EQNTYP,X38)="Linear",(1/L38)*((INDEX(LU_EQN_A,X38)*L38)+INDEX(LU_EQN_B,X38))*(1-INDEX(LU_PB,X38)),IF(INDEX(LU_EQNTYP,X38)="Power",(1/L38)*EXP((INDEX(LU_EQN_A,X38)*LN(L38))+INDEX(LU_EQN_B,X38))*(1-INDEX(LU_PB,X38)),INDEX(LU_Trip_Rate,X38))),"Select Method")),"")</f>
      </c>
      <c r="N38" s="366" t="str">
        <f>IF(M38=""," ",L38*M38)</f>
        <v> </v>
      </c>
      <c r="O38" s="255"/>
      <c r="P38" s="281">
        <f>IF(D38="","",IF(F38="","",0))</f>
      </c>
      <c r="Q38" s="255"/>
      <c r="R38" s="282"/>
      <c r="S38" s="224"/>
      <c r="T38" s="266">
        <f>IF(D38="","",(IF(F38="","",(IF((VLOOKUP(D38,#REF!,5,FALSE)&gt;R38),IF(L38="","",ROUND(L38*M38*(1-P38)*R38,2)),"Check Trip Length")))))</f>
      </c>
      <c r="U38" s="241"/>
      <c r="V38" s="225"/>
      <c r="X38" s="283" t="e">
        <f>MATCH(INDEX(#REF!,MATCH(D38,ZC,0)),LU_Name,0)</f>
        <v>#REF!</v>
      </c>
      <c r="AA38" s="220"/>
      <c r="AB38" s="220">
        <f t="shared" si="13"/>
      </c>
      <c r="AC38" s="218">
        <f t="shared" si="14"/>
      </c>
      <c r="AZ38" s="219" t="s">
        <v>245</v>
      </c>
    </row>
    <row r="39" spans="2:52" ht="3.75" customHeight="1">
      <c r="B39" s="227"/>
      <c r="C39" s="237"/>
      <c r="D39" s="240"/>
      <c r="E39" s="240"/>
      <c r="F39" s="240"/>
      <c r="G39" s="224"/>
      <c r="H39" s="255"/>
      <c r="I39" s="255"/>
      <c r="J39" s="224"/>
      <c r="K39" s="224"/>
      <c r="L39" s="256"/>
      <c r="M39" s="224"/>
      <c r="N39" s="255"/>
      <c r="O39" s="255"/>
      <c r="P39" s="265"/>
      <c r="Q39" s="255"/>
      <c r="R39" s="257"/>
      <c r="S39" s="224"/>
      <c r="T39" s="284"/>
      <c r="U39" s="241"/>
      <c r="V39" s="225"/>
      <c r="AA39" s="220"/>
      <c r="AB39" s="220"/>
      <c r="AC39" s="218">
        <f t="shared" si="14"/>
      </c>
      <c r="AZ39" s="219" t="s">
        <v>245</v>
      </c>
    </row>
    <row r="40" spans="2:52" ht="17.25" customHeight="1">
      <c r="B40" s="227"/>
      <c r="C40" s="237"/>
      <c r="D40" s="224"/>
      <c r="E40" s="224"/>
      <c r="F40" s="224"/>
      <c r="G40" s="224"/>
      <c r="H40" s="224"/>
      <c r="I40" s="224"/>
      <c r="J40" s="224"/>
      <c r="K40" s="224"/>
      <c r="L40" s="224"/>
      <c r="M40" s="224"/>
      <c r="N40" s="285"/>
      <c r="O40" s="285"/>
      <c r="P40" s="226" t="s">
        <v>277</v>
      </c>
      <c r="Q40" s="285"/>
      <c r="R40" s="286">
        <f>SUM(R21:R30)</f>
        <v>0</v>
      </c>
      <c r="S40" s="226"/>
      <c r="T40" s="287">
        <f>SUM(T21:T30)</f>
        <v>0</v>
      </c>
      <c r="U40" s="241"/>
      <c r="V40" s="225"/>
      <c r="AA40" s="220"/>
      <c r="AB40" s="220"/>
      <c r="AZ40" s="219" t="s">
        <v>245</v>
      </c>
    </row>
    <row r="41" spans="2:52" ht="17.25" customHeight="1">
      <c r="B41" s="227"/>
      <c r="C41" s="237"/>
      <c r="D41" s="224"/>
      <c r="E41" s="224"/>
      <c r="F41" s="224"/>
      <c r="G41" s="224"/>
      <c r="H41" s="224"/>
      <c r="I41" s="224"/>
      <c r="J41" s="224"/>
      <c r="K41" s="224"/>
      <c r="L41" s="285"/>
      <c r="M41" s="285"/>
      <c r="N41" s="229" t="s">
        <v>492</v>
      </c>
      <c r="O41" s="392">
        <f>'Summary of Roadway Costs'!G20</f>
        <v>2275.571725936276</v>
      </c>
      <c r="P41" s="392"/>
      <c r="Q41" s="392"/>
      <c r="R41" s="286"/>
      <c r="S41" s="226"/>
      <c r="T41" s="287"/>
      <c r="U41" s="241"/>
      <c r="V41" s="225"/>
      <c r="AA41" s="220"/>
      <c r="AB41" s="220"/>
      <c r="AZ41" s="219"/>
    </row>
    <row r="42" spans="2:52" ht="58.5" customHeight="1">
      <c r="B42" s="227"/>
      <c r="C42" s="237"/>
      <c r="D42" s="393" t="s">
        <v>493</v>
      </c>
      <c r="E42" s="393"/>
      <c r="F42" s="393"/>
      <c r="G42" s="393"/>
      <c r="H42" s="393"/>
      <c r="I42" s="393"/>
      <c r="J42" s="393"/>
      <c r="K42" s="393"/>
      <c r="L42" s="393"/>
      <c r="M42" s="393"/>
      <c r="N42" s="393"/>
      <c r="O42" s="393"/>
      <c r="P42" s="393"/>
      <c r="Q42" s="393"/>
      <c r="R42" s="393"/>
      <c r="S42" s="393"/>
      <c r="T42" s="393"/>
      <c r="U42" s="241"/>
      <c r="V42" s="225"/>
      <c r="AZ42" s="219" t="s">
        <v>245</v>
      </c>
    </row>
    <row r="43" spans="2:52" ht="22.5" customHeight="1">
      <c r="B43" s="227"/>
      <c r="C43" s="289"/>
      <c r="D43" s="394"/>
      <c r="E43" s="394"/>
      <c r="F43" s="394"/>
      <c r="G43" s="394"/>
      <c r="H43" s="394"/>
      <c r="I43" s="394"/>
      <c r="J43" s="394"/>
      <c r="K43" s="394"/>
      <c r="L43" s="394"/>
      <c r="M43" s="394"/>
      <c r="N43" s="394"/>
      <c r="O43" s="394"/>
      <c r="P43" s="394"/>
      <c r="Q43" s="394"/>
      <c r="R43" s="394"/>
      <c r="S43" s="394"/>
      <c r="T43" s="394"/>
      <c r="U43" s="290"/>
      <c r="V43" s="225"/>
      <c r="AZ43" s="219" t="s">
        <v>245</v>
      </c>
    </row>
    <row r="44" spans="2:52" ht="5.25" customHeight="1">
      <c r="B44" s="227"/>
      <c r="C44" s="224"/>
      <c r="D44" s="288"/>
      <c r="E44" s="288"/>
      <c r="F44" s="288"/>
      <c r="G44" s="288"/>
      <c r="H44" s="288"/>
      <c r="I44" s="288"/>
      <c r="J44" s="288"/>
      <c r="K44" s="288"/>
      <c r="L44" s="288"/>
      <c r="M44" s="288"/>
      <c r="N44" s="288"/>
      <c r="O44" s="288"/>
      <c r="P44" s="288"/>
      <c r="Q44" s="288"/>
      <c r="R44" s="288"/>
      <c r="S44" s="288"/>
      <c r="T44" s="288"/>
      <c r="U44" s="224"/>
      <c r="V44" s="225"/>
      <c r="AZ44" s="219" t="s">
        <v>245</v>
      </c>
    </row>
    <row r="45" spans="2:52" ht="4.5" customHeight="1">
      <c r="B45" s="227"/>
      <c r="C45" s="234"/>
      <c r="D45" s="291"/>
      <c r="E45" s="291"/>
      <c r="F45" s="291"/>
      <c r="G45" s="291"/>
      <c r="H45" s="291"/>
      <c r="I45" s="291"/>
      <c r="J45" s="291"/>
      <c r="K45" s="291"/>
      <c r="L45" s="291"/>
      <c r="M45" s="291"/>
      <c r="N45" s="291"/>
      <c r="O45" s="291"/>
      <c r="P45" s="291"/>
      <c r="Q45" s="291"/>
      <c r="R45" s="291"/>
      <c r="S45" s="291"/>
      <c r="T45" s="291"/>
      <c r="U45" s="236"/>
      <c r="V45" s="225"/>
      <c r="AZ45" s="219" t="s">
        <v>245</v>
      </c>
    </row>
    <row r="46" spans="2:52" ht="18.75" customHeight="1">
      <c r="B46" s="227"/>
      <c r="C46" s="237"/>
      <c r="D46" s="292" t="s">
        <v>0</v>
      </c>
      <c r="E46" s="292"/>
      <c r="F46" s="292"/>
      <c r="G46" s="292"/>
      <c r="H46" s="292"/>
      <c r="I46" s="292"/>
      <c r="J46" s="292"/>
      <c r="K46" s="292"/>
      <c r="L46" s="292"/>
      <c r="M46" s="292"/>
      <c r="N46" s="292"/>
      <c r="O46" s="395">
        <f>IF(T54=(SUM(R48:R52)),"","COST ESTIMATES BASED ON DETAILED OPCC")</f>
      </c>
      <c r="P46" s="396"/>
      <c r="Q46" s="396"/>
      <c r="R46" s="396"/>
      <c r="S46" s="396"/>
      <c r="T46" s="396"/>
      <c r="U46" s="241"/>
      <c r="V46" s="225"/>
      <c r="AZ46" s="219" t="s">
        <v>245</v>
      </c>
    </row>
    <row r="47" spans="2:52" ht="37.5" customHeight="1">
      <c r="B47" s="227"/>
      <c r="C47" s="237"/>
      <c r="D47" s="274" t="s">
        <v>23</v>
      </c>
      <c r="E47" s="274"/>
      <c r="F47" s="274"/>
      <c r="G47" s="293"/>
      <c r="J47" s="274" t="s">
        <v>24</v>
      </c>
      <c r="K47" s="274"/>
      <c r="L47" s="275"/>
      <c r="M47" s="293"/>
      <c r="N47" s="294" t="s">
        <v>253</v>
      </c>
      <c r="O47" s="249"/>
      <c r="P47" s="249" t="s">
        <v>426</v>
      </c>
      <c r="Q47" s="275"/>
      <c r="R47" s="249" t="s">
        <v>494</v>
      </c>
      <c r="S47" s="293"/>
      <c r="T47" s="249" t="s">
        <v>496</v>
      </c>
      <c r="U47" s="241"/>
      <c r="V47" s="225"/>
      <c r="AZ47" s="219" t="s">
        <v>245</v>
      </c>
    </row>
    <row r="48" spans="2:52" ht="16.5" customHeight="1">
      <c r="B48" s="227"/>
      <c r="C48" s="237"/>
      <c r="D48" s="398"/>
      <c r="E48" s="399"/>
      <c r="F48" s="399"/>
      <c r="G48" s="400"/>
      <c r="H48" s="401"/>
      <c r="J48" s="402"/>
      <c r="K48" s="403"/>
      <c r="L48" s="404"/>
      <c r="M48" s="224"/>
      <c r="N48" s="295"/>
      <c r="O48" s="296"/>
      <c r="P48" s="297"/>
      <c r="Q48" s="255"/>
      <c r="R48" s="298">
        <f>IF(D48="","",IF(J48="","",N48*P48*VLOOKUP(J48,'Summary of Roadway Costs'!$B$4:$H$18,7,FALSE)))</f>
      </c>
      <c r="S48" s="224"/>
      <c r="T48" s="299">
        <f>R48</f>
      </c>
      <c r="U48" s="241"/>
      <c r="V48" s="225"/>
      <c r="AZ48" s="219" t="s">
        <v>245</v>
      </c>
    </row>
    <row r="49" spans="2:52" ht="16.5" customHeight="1">
      <c r="B49" s="227"/>
      <c r="C49" s="237"/>
      <c r="D49" s="398"/>
      <c r="E49" s="399"/>
      <c r="F49" s="399"/>
      <c r="G49" s="400"/>
      <c r="H49" s="401"/>
      <c r="J49" s="402"/>
      <c r="K49" s="403"/>
      <c r="L49" s="404"/>
      <c r="M49" s="224"/>
      <c r="N49" s="295"/>
      <c r="O49" s="296"/>
      <c r="P49" s="297"/>
      <c r="Q49" s="255"/>
      <c r="R49" s="298">
        <f>IF(D49="","",IF(J49="","",N49*P49*VLOOKUP(J49,'Summary of Roadway Costs'!$B$4:$H$18,7,FALSE)))</f>
      </c>
      <c r="S49" s="224"/>
      <c r="T49" s="299">
        <f>R49</f>
      </c>
      <c r="U49" s="241"/>
      <c r="V49" s="225"/>
      <c r="AZ49" s="219" t="s">
        <v>245</v>
      </c>
    </row>
    <row r="50" spans="2:52" ht="16.5" customHeight="1">
      <c r="B50" s="227"/>
      <c r="C50" s="237"/>
      <c r="D50" s="398"/>
      <c r="E50" s="399"/>
      <c r="F50" s="399"/>
      <c r="G50" s="400"/>
      <c r="H50" s="401"/>
      <c r="J50" s="402"/>
      <c r="K50" s="403"/>
      <c r="L50" s="404"/>
      <c r="M50" s="224"/>
      <c r="N50" s="295"/>
      <c r="O50" s="296"/>
      <c r="P50" s="297"/>
      <c r="Q50" s="255"/>
      <c r="R50" s="298">
        <f>IF(D50="","",IF(J50="","",N50*P50*VLOOKUP(J50,'Summary of Roadway Costs'!$B$4:$H$18,7,FALSE)))</f>
      </c>
      <c r="S50" s="224"/>
      <c r="T50" s="299">
        <f>R50</f>
      </c>
      <c r="U50" s="241"/>
      <c r="V50" s="225"/>
      <c r="AZ50" s="219" t="s">
        <v>245</v>
      </c>
    </row>
    <row r="51" spans="2:52" ht="16.5" customHeight="1">
      <c r="B51" s="227"/>
      <c r="C51" s="237"/>
      <c r="D51" s="398"/>
      <c r="E51" s="399"/>
      <c r="F51" s="399"/>
      <c r="G51" s="400"/>
      <c r="H51" s="401"/>
      <c r="J51" s="402"/>
      <c r="K51" s="403"/>
      <c r="L51" s="404"/>
      <c r="M51" s="224"/>
      <c r="N51" s="295"/>
      <c r="O51" s="296"/>
      <c r="P51" s="297"/>
      <c r="Q51" s="255"/>
      <c r="R51" s="298">
        <f>IF(D51="","",IF(J51="","",N51*P51*VLOOKUP(J51,'Summary of Roadway Costs'!$B$4:$H$18,7,FALSE)))</f>
      </c>
      <c r="S51" s="224"/>
      <c r="T51" s="299">
        <f>R51</f>
      </c>
      <c r="U51" s="241"/>
      <c r="V51" s="225"/>
      <c r="AZ51" s="219" t="s">
        <v>245</v>
      </c>
    </row>
    <row r="52" spans="2:52" ht="16.5" customHeight="1">
      <c r="B52" s="227"/>
      <c r="C52" s="237"/>
      <c r="D52" s="398"/>
      <c r="E52" s="399"/>
      <c r="F52" s="399"/>
      <c r="G52" s="400"/>
      <c r="H52" s="401"/>
      <c r="J52" s="402"/>
      <c r="K52" s="403"/>
      <c r="L52" s="404"/>
      <c r="M52" s="224"/>
      <c r="N52" s="295"/>
      <c r="O52" s="296"/>
      <c r="P52" s="297"/>
      <c r="Q52" s="255"/>
      <c r="R52" s="298">
        <f>IF(D52="","",IF(J52="","",N52*P52*VLOOKUP(J52,'Summary of Roadway Costs'!$B$4:$H$18,7,FALSE)))</f>
      </c>
      <c r="S52" s="224"/>
      <c r="T52" s="299">
        <f>R52</f>
      </c>
      <c r="U52" s="241"/>
      <c r="V52" s="225"/>
      <c r="AZ52" s="219" t="s">
        <v>245</v>
      </c>
    </row>
    <row r="53" spans="2:52" ht="4.5" customHeight="1">
      <c r="B53" s="227"/>
      <c r="C53" s="237"/>
      <c r="D53" s="276"/>
      <c r="E53" s="276"/>
      <c r="F53" s="276"/>
      <c r="G53" s="300"/>
      <c r="H53" s="300"/>
      <c r="J53" s="240"/>
      <c r="K53" s="240"/>
      <c r="L53" s="301"/>
      <c r="M53" s="224"/>
      <c r="N53" s="302"/>
      <c r="O53" s="303"/>
      <c r="P53" s="255"/>
      <c r="Q53" s="255"/>
      <c r="R53" s="298"/>
      <c r="S53" s="224"/>
      <c r="T53" s="298"/>
      <c r="U53" s="241"/>
      <c r="V53" s="225"/>
      <c r="AZ53" s="219"/>
    </row>
    <row r="54" spans="2:52" ht="16.5" customHeight="1">
      <c r="B54" s="227"/>
      <c r="C54" s="237"/>
      <c r="D54" s="293"/>
      <c r="E54" s="293"/>
      <c r="F54" s="293"/>
      <c r="G54" s="293"/>
      <c r="H54" s="240"/>
      <c r="I54" s="240"/>
      <c r="J54" s="224"/>
      <c r="K54" s="224"/>
      <c r="L54" s="255"/>
      <c r="M54" s="224"/>
      <c r="N54" s="302"/>
      <c r="O54" s="302"/>
      <c r="Q54" s="255"/>
      <c r="R54" s="229" t="s">
        <v>274</v>
      </c>
      <c r="S54" s="224"/>
      <c r="T54" s="304">
        <f>SUM(T48:T52)</f>
        <v>0</v>
      </c>
      <c r="U54" s="241"/>
      <c r="V54" s="225"/>
      <c r="AZ54" s="219"/>
    </row>
    <row r="55" spans="2:52" ht="5.25" customHeight="1">
      <c r="B55" s="227"/>
      <c r="C55" s="237"/>
      <c r="D55" s="293"/>
      <c r="E55" s="293"/>
      <c r="F55" s="293"/>
      <c r="G55" s="293"/>
      <c r="H55" s="240"/>
      <c r="I55" s="240"/>
      <c r="J55" s="224"/>
      <c r="K55" s="224"/>
      <c r="L55" s="255"/>
      <c r="M55" s="224"/>
      <c r="N55" s="302"/>
      <c r="O55" s="302"/>
      <c r="P55" s="229"/>
      <c r="Q55" s="255"/>
      <c r="R55" s="305"/>
      <c r="S55" s="224"/>
      <c r="T55" s="304"/>
      <c r="U55" s="241"/>
      <c r="V55" s="225"/>
      <c r="AZ55" s="219"/>
    </row>
    <row r="56" spans="2:52" ht="18.75" customHeight="1">
      <c r="B56" s="227"/>
      <c r="C56" s="237"/>
      <c r="D56" s="292" t="s">
        <v>487</v>
      </c>
      <c r="E56" s="306"/>
      <c r="F56" s="306"/>
      <c r="G56" s="306"/>
      <c r="H56" s="307"/>
      <c r="I56" s="307"/>
      <c r="J56" s="271"/>
      <c r="K56" s="271"/>
      <c r="L56" s="308"/>
      <c r="M56" s="271"/>
      <c r="N56" s="309"/>
      <c r="O56" s="309"/>
      <c r="P56" s="310"/>
      <c r="Q56" s="308"/>
      <c r="R56" s="311"/>
      <c r="S56" s="224"/>
      <c r="T56" s="312"/>
      <c r="U56" s="241"/>
      <c r="V56" s="225"/>
      <c r="AZ56" s="219"/>
    </row>
    <row r="57" spans="2:52" ht="18.75" customHeight="1">
      <c r="B57" s="227"/>
      <c r="C57" s="237"/>
      <c r="D57" s="274" t="s">
        <v>486</v>
      </c>
      <c r="E57" s="293"/>
      <c r="F57" s="293"/>
      <c r="G57" s="293"/>
      <c r="H57" s="313"/>
      <c r="I57" s="313"/>
      <c r="J57" s="313" t="s">
        <v>276</v>
      </c>
      <c r="K57" s="313"/>
      <c r="L57" s="255"/>
      <c r="M57" s="224"/>
      <c r="N57" s="302"/>
      <c r="O57" s="302"/>
      <c r="P57" s="302"/>
      <c r="Q57" s="255"/>
      <c r="R57" s="255"/>
      <c r="S57" s="224"/>
      <c r="T57" s="249" t="s">
        <v>427</v>
      </c>
      <c r="U57" s="241"/>
      <c r="V57" s="225"/>
      <c r="AZ57" s="219"/>
    </row>
    <row r="58" spans="2:52" ht="16.5" customHeight="1">
      <c r="B58" s="227"/>
      <c r="C58" s="237"/>
      <c r="D58" s="398"/>
      <c r="E58" s="399"/>
      <c r="F58" s="399"/>
      <c r="G58" s="405"/>
      <c r="H58" s="406"/>
      <c r="I58" s="300"/>
      <c r="J58" s="407"/>
      <c r="K58" s="407"/>
      <c r="L58" s="407"/>
      <c r="M58" s="407"/>
      <c r="N58" s="407"/>
      <c r="O58" s="407"/>
      <c r="P58" s="407"/>
      <c r="Q58" s="407"/>
      <c r="R58" s="407"/>
      <c r="S58" s="224"/>
      <c r="T58" s="299"/>
      <c r="U58" s="241"/>
      <c r="V58" s="225"/>
      <c r="AZ58" s="219"/>
    </row>
    <row r="59" spans="2:52" ht="16.5" customHeight="1">
      <c r="B59" s="227"/>
      <c r="C59" s="237"/>
      <c r="D59" s="398"/>
      <c r="E59" s="399"/>
      <c r="F59" s="399"/>
      <c r="G59" s="405"/>
      <c r="H59" s="406"/>
      <c r="I59" s="276"/>
      <c r="J59" s="407"/>
      <c r="K59" s="407"/>
      <c r="L59" s="407"/>
      <c r="M59" s="407"/>
      <c r="N59" s="407"/>
      <c r="O59" s="407"/>
      <c r="P59" s="407"/>
      <c r="Q59" s="407"/>
      <c r="R59" s="407"/>
      <c r="S59" s="224"/>
      <c r="T59" s="299"/>
      <c r="U59" s="241"/>
      <c r="V59" s="225"/>
      <c r="AZ59" s="219"/>
    </row>
    <row r="60" spans="2:52" ht="16.5" customHeight="1">
      <c r="B60" s="227"/>
      <c r="C60" s="237"/>
      <c r="D60" s="398"/>
      <c r="E60" s="399"/>
      <c r="F60" s="399"/>
      <c r="G60" s="405"/>
      <c r="H60" s="406"/>
      <c r="I60" s="276"/>
      <c r="J60" s="407"/>
      <c r="K60" s="407"/>
      <c r="L60" s="407"/>
      <c r="M60" s="407"/>
      <c r="N60" s="407"/>
      <c r="O60" s="407"/>
      <c r="P60" s="407"/>
      <c r="Q60" s="407"/>
      <c r="R60" s="407"/>
      <c r="S60" s="224"/>
      <c r="T60" s="299"/>
      <c r="U60" s="241"/>
      <c r="V60" s="225"/>
      <c r="AZ60" s="219"/>
    </row>
    <row r="61" spans="2:52" ht="16.5" customHeight="1">
      <c r="B61" s="227"/>
      <c r="C61" s="237"/>
      <c r="D61" s="398"/>
      <c r="E61" s="399"/>
      <c r="F61" s="399"/>
      <c r="G61" s="405"/>
      <c r="H61" s="406"/>
      <c r="I61" s="276"/>
      <c r="J61" s="407"/>
      <c r="K61" s="407"/>
      <c r="L61" s="407"/>
      <c r="M61" s="407"/>
      <c r="N61" s="407"/>
      <c r="O61" s="407"/>
      <c r="P61" s="407"/>
      <c r="Q61" s="407"/>
      <c r="R61" s="407"/>
      <c r="S61" s="224"/>
      <c r="T61" s="299"/>
      <c r="U61" s="241"/>
      <c r="V61" s="225"/>
      <c r="AZ61" s="219"/>
    </row>
    <row r="62" spans="2:52" ht="16.5" customHeight="1">
      <c r="B62" s="227"/>
      <c r="C62" s="237"/>
      <c r="D62" s="407"/>
      <c r="E62" s="407"/>
      <c r="F62" s="407"/>
      <c r="G62" s="408"/>
      <c r="H62" s="408"/>
      <c r="I62" s="300"/>
      <c r="J62" s="407"/>
      <c r="K62" s="407"/>
      <c r="L62" s="407"/>
      <c r="M62" s="407"/>
      <c r="N62" s="407"/>
      <c r="O62" s="407"/>
      <c r="P62" s="407"/>
      <c r="Q62" s="407"/>
      <c r="R62" s="407"/>
      <c r="S62" s="224"/>
      <c r="T62" s="299"/>
      <c r="U62" s="241"/>
      <c r="V62" s="225"/>
      <c r="AZ62" s="219"/>
    </row>
    <row r="63" spans="2:52" ht="4.5" customHeight="1">
      <c r="B63" s="227"/>
      <c r="C63" s="237"/>
      <c r="D63" s="276"/>
      <c r="E63" s="276"/>
      <c r="F63" s="276"/>
      <c r="G63" s="224"/>
      <c r="H63" s="224"/>
      <c r="I63" s="300"/>
      <c r="J63" s="276"/>
      <c r="K63" s="276"/>
      <c r="L63" s="300"/>
      <c r="M63" s="300"/>
      <c r="N63" s="300"/>
      <c r="O63" s="300"/>
      <c r="P63" s="300"/>
      <c r="Q63" s="300"/>
      <c r="R63" s="300"/>
      <c r="S63" s="224"/>
      <c r="T63" s="298"/>
      <c r="U63" s="241"/>
      <c r="V63" s="225"/>
      <c r="AZ63" s="219"/>
    </row>
    <row r="64" spans="2:52" ht="16.5" customHeight="1">
      <c r="B64" s="227"/>
      <c r="C64" s="237"/>
      <c r="D64" s="276"/>
      <c r="E64" s="276"/>
      <c r="F64" s="276"/>
      <c r="G64" s="224"/>
      <c r="H64" s="224"/>
      <c r="I64" s="300"/>
      <c r="J64" s="276"/>
      <c r="K64" s="276"/>
      <c r="L64" s="300"/>
      <c r="M64" s="300"/>
      <c r="N64" s="300"/>
      <c r="O64" s="300"/>
      <c r="Q64" s="300"/>
      <c r="R64" s="229" t="s">
        <v>488</v>
      </c>
      <c r="S64" s="224"/>
      <c r="T64" s="305">
        <f>SUM(T58:T62)</f>
        <v>0</v>
      </c>
      <c r="U64" s="241"/>
      <c r="V64" s="225"/>
      <c r="AZ64" s="219"/>
    </row>
    <row r="65" spans="2:52" ht="5.25" customHeight="1">
      <c r="B65" s="227"/>
      <c r="C65" s="237"/>
      <c r="D65" s="276"/>
      <c r="E65" s="276"/>
      <c r="F65" s="276"/>
      <c r="G65" s="224"/>
      <c r="H65" s="224"/>
      <c r="I65" s="300"/>
      <c r="J65" s="276"/>
      <c r="K65" s="276"/>
      <c r="L65" s="300"/>
      <c r="M65" s="300"/>
      <c r="N65" s="300"/>
      <c r="O65" s="300"/>
      <c r="P65" s="229"/>
      <c r="Q65" s="300"/>
      <c r="R65" s="300"/>
      <c r="S65" s="224"/>
      <c r="T65" s="314"/>
      <c r="U65" s="241"/>
      <c r="V65" s="225"/>
      <c r="AZ65" s="219"/>
    </row>
    <row r="66" spans="2:52" ht="18.75" customHeight="1">
      <c r="B66" s="227"/>
      <c r="C66" s="237"/>
      <c r="D66" s="315" t="s">
        <v>278</v>
      </c>
      <c r="E66" s="306"/>
      <c r="F66" s="306"/>
      <c r="G66" s="306"/>
      <c r="H66" s="316"/>
      <c r="I66" s="316"/>
      <c r="J66" s="316"/>
      <c r="K66" s="316"/>
      <c r="L66" s="308"/>
      <c r="M66" s="271"/>
      <c r="N66" s="309"/>
      <c r="O66" s="302"/>
      <c r="P66" s="410"/>
      <c r="Q66" s="410"/>
      <c r="R66" s="410"/>
      <c r="S66" s="410"/>
      <c r="T66" s="410"/>
      <c r="U66" s="241"/>
      <c r="V66" s="225"/>
      <c r="AZ66" s="219"/>
    </row>
    <row r="67" spans="2:52" ht="18.75" customHeight="1">
      <c r="B67" s="227"/>
      <c r="C67" s="237"/>
      <c r="D67" s="274" t="s">
        <v>280</v>
      </c>
      <c r="E67" s="293"/>
      <c r="F67" s="293"/>
      <c r="G67" s="293"/>
      <c r="H67" s="313"/>
      <c r="I67" s="313"/>
      <c r="J67" s="313" t="s">
        <v>279</v>
      </c>
      <c r="K67" s="313"/>
      <c r="L67" s="255"/>
      <c r="M67" s="224"/>
      <c r="N67" s="302"/>
      <c r="O67" s="302"/>
      <c r="P67" s="302"/>
      <c r="Q67" s="255"/>
      <c r="R67" s="255"/>
      <c r="S67" s="224"/>
      <c r="T67" s="249" t="s">
        <v>495</v>
      </c>
      <c r="U67" s="241"/>
      <c r="V67" s="225"/>
      <c r="AZ67" s="219"/>
    </row>
    <row r="68" spans="2:52" ht="16.5" customHeight="1">
      <c r="B68" s="227"/>
      <c r="C68" s="237"/>
      <c r="D68" s="407"/>
      <c r="E68" s="408"/>
      <c r="F68" s="408"/>
      <c r="G68" s="408"/>
      <c r="H68" s="408"/>
      <c r="I68" s="317"/>
      <c r="J68" s="398"/>
      <c r="K68" s="399"/>
      <c r="L68" s="399"/>
      <c r="M68" s="399"/>
      <c r="N68" s="399"/>
      <c r="O68" s="399"/>
      <c r="P68" s="399"/>
      <c r="Q68" s="399"/>
      <c r="R68" s="409"/>
      <c r="S68" s="224"/>
      <c r="T68" s="299"/>
      <c r="U68" s="241"/>
      <c r="V68" s="225"/>
      <c r="AZ68" s="219"/>
    </row>
    <row r="69" spans="2:52" ht="16.5" customHeight="1">
      <c r="B69" s="227"/>
      <c r="C69" s="237"/>
      <c r="D69" s="407"/>
      <c r="E69" s="408"/>
      <c r="F69" s="408"/>
      <c r="G69" s="408"/>
      <c r="H69" s="408"/>
      <c r="I69" s="317"/>
      <c r="J69" s="398"/>
      <c r="K69" s="399"/>
      <c r="L69" s="399"/>
      <c r="M69" s="399"/>
      <c r="N69" s="399"/>
      <c r="O69" s="399"/>
      <c r="P69" s="399"/>
      <c r="Q69" s="399"/>
      <c r="R69" s="409"/>
      <c r="S69" s="224"/>
      <c r="T69" s="299"/>
      <c r="U69" s="241"/>
      <c r="V69" s="225"/>
      <c r="AZ69" s="219"/>
    </row>
    <row r="70" spans="2:52" ht="16.5" customHeight="1">
      <c r="B70" s="227"/>
      <c r="C70" s="237"/>
      <c r="D70" s="407"/>
      <c r="E70" s="408"/>
      <c r="F70" s="408"/>
      <c r="G70" s="408"/>
      <c r="H70" s="408"/>
      <c r="I70" s="317"/>
      <c r="J70" s="398"/>
      <c r="K70" s="399"/>
      <c r="L70" s="399"/>
      <c r="M70" s="399"/>
      <c r="N70" s="399"/>
      <c r="O70" s="399"/>
      <c r="P70" s="399"/>
      <c r="Q70" s="399"/>
      <c r="R70" s="409"/>
      <c r="S70" s="224"/>
      <c r="T70" s="299"/>
      <c r="U70" s="241"/>
      <c r="V70" s="225"/>
      <c r="AZ70" s="219"/>
    </row>
    <row r="71" spans="2:52" ht="16.5" customHeight="1">
      <c r="B71" s="227"/>
      <c r="C71" s="237"/>
      <c r="D71" s="407"/>
      <c r="E71" s="408"/>
      <c r="F71" s="408"/>
      <c r="G71" s="408"/>
      <c r="H71" s="408"/>
      <c r="I71" s="317"/>
      <c r="J71" s="398"/>
      <c r="K71" s="399"/>
      <c r="L71" s="399"/>
      <c r="M71" s="399"/>
      <c r="N71" s="399"/>
      <c r="O71" s="399"/>
      <c r="P71" s="399"/>
      <c r="Q71" s="399"/>
      <c r="R71" s="409"/>
      <c r="S71" s="224"/>
      <c r="T71" s="299"/>
      <c r="U71" s="241"/>
      <c r="V71" s="225"/>
      <c r="AZ71" s="219"/>
    </row>
    <row r="72" spans="2:52" ht="16.5" customHeight="1">
      <c r="B72" s="227"/>
      <c r="C72" s="237"/>
      <c r="D72" s="407"/>
      <c r="E72" s="408"/>
      <c r="F72" s="408"/>
      <c r="G72" s="408"/>
      <c r="H72" s="408"/>
      <c r="I72" s="317"/>
      <c r="J72" s="398"/>
      <c r="K72" s="399"/>
      <c r="L72" s="399"/>
      <c r="M72" s="399"/>
      <c r="N72" s="399"/>
      <c r="O72" s="399"/>
      <c r="P72" s="399"/>
      <c r="Q72" s="399"/>
      <c r="R72" s="409"/>
      <c r="S72" s="224"/>
      <c r="T72" s="299"/>
      <c r="U72" s="241"/>
      <c r="V72" s="225"/>
      <c r="AZ72" s="219"/>
    </row>
    <row r="73" spans="2:52" ht="4.5" customHeight="1">
      <c r="B73" s="227"/>
      <c r="C73" s="237"/>
      <c r="D73" s="276"/>
      <c r="E73" s="224"/>
      <c r="F73" s="224"/>
      <c r="G73" s="224"/>
      <c r="H73" s="224"/>
      <c r="I73" s="317"/>
      <c r="J73" s="276"/>
      <c r="K73" s="276"/>
      <c r="L73" s="300"/>
      <c r="M73" s="300"/>
      <c r="N73" s="300"/>
      <c r="O73" s="300"/>
      <c r="P73" s="300"/>
      <c r="Q73" s="300"/>
      <c r="R73" s="300"/>
      <c r="S73" s="224"/>
      <c r="T73" s="298"/>
      <c r="U73" s="241"/>
      <c r="V73" s="225"/>
      <c r="AZ73" s="219"/>
    </row>
    <row r="74" spans="2:52" ht="16.5" customHeight="1">
      <c r="B74" s="227"/>
      <c r="C74" s="237"/>
      <c r="D74" s="276"/>
      <c r="E74" s="224"/>
      <c r="F74" s="224"/>
      <c r="G74" s="224"/>
      <c r="H74" s="224"/>
      <c r="I74" s="300"/>
      <c r="J74" s="276"/>
      <c r="K74" s="276"/>
      <c r="L74" s="300"/>
      <c r="M74" s="300"/>
      <c r="N74" s="300"/>
      <c r="O74" s="300"/>
      <c r="Q74" s="300"/>
      <c r="R74" s="229" t="s">
        <v>275</v>
      </c>
      <c r="S74" s="224"/>
      <c r="T74" s="314">
        <f>SUM(T68:T72)</f>
        <v>0</v>
      </c>
      <c r="U74" s="241"/>
      <c r="V74" s="225"/>
      <c r="AZ74" s="219"/>
    </row>
    <row r="75" spans="2:52" ht="18" customHeight="1">
      <c r="B75" s="227"/>
      <c r="C75" s="237"/>
      <c r="D75" s="224"/>
      <c r="E75" s="224"/>
      <c r="F75" s="224"/>
      <c r="G75" s="224"/>
      <c r="H75" s="224"/>
      <c r="I75" s="224"/>
      <c r="J75" s="224"/>
      <c r="K75" s="224"/>
      <c r="L75" s="224"/>
      <c r="M75" s="224"/>
      <c r="N75" s="224"/>
      <c r="O75" s="224"/>
      <c r="Q75" s="224"/>
      <c r="R75" s="226" t="s">
        <v>283</v>
      </c>
      <c r="S75" s="229"/>
      <c r="T75" s="318">
        <f>T54+T64+T74</f>
        <v>0</v>
      </c>
      <c r="U75" s="241"/>
      <c r="V75" s="225"/>
      <c r="AZ75" s="219" t="s">
        <v>245</v>
      </c>
    </row>
    <row r="76" spans="2:52" ht="0.75" customHeight="1">
      <c r="B76" s="227"/>
      <c r="C76" s="237"/>
      <c r="D76" s="224"/>
      <c r="E76" s="224"/>
      <c r="F76" s="224"/>
      <c r="G76" s="224"/>
      <c r="H76" s="224"/>
      <c r="I76" s="224"/>
      <c r="J76" s="224"/>
      <c r="K76" s="224"/>
      <c r="L76" s="224"/>
      <c r="M76" s="224"/>
      <c r="N76" s="224"/>
      <c r="O76" s="224"/>
      <c r="P76" s="229"/>
      <c r="Q76" s="224"/>
      <c r="R76" s="319"/>
      <c r="S76" s="229"/>
      <c r="T76" s="320"/>
      <c r="U76" s="241"/>
      <c r="V76" s="225"/>
      <c r="AZ76" s="219"/>
    </row>
    <row r="77" spans="2:52" ht="0.75" customHeight="1">
      <c r="B77" s="227"/>
      <c r="C77" s="237"/>
      <c r="D77" s="224"/>
      <c r="E77" s="224"/>
      <c r="F77" s="224"/>
      <c r="G77" s="224"/>
      <c r="H77" s="224"/>
      <c r="I77" s="224"/>
      <c r="J77" s="224"/>
      <c r="K77" s="224"/>
      <c r="L77" s="224"/>
      <c r="M77" s="224"/>
      <c r="N77" s="224"/>
      <c r="O77" s="224"/>
      <c r="P77" s="229"/>
      <c r="Q77" s="224"/>
      <c r="R77" s="319"/>
      <c r="S77" s="229"/>
      <c r="T77" s="320"/>
      <c r="U77" s="241"/>
      <c r="V77" s="225"/>
      <c r="AZ77" s="219"/>
    </row>
    <row r="78" spans="2:52" ht="38.25" customHeight="1">
      <c r="B78" s="227"/>
      <c r="C78" s="237"/>
      <c r="D78" s="393" t="s">
        <v>497</v>
      </c>
      <c r="E78" s="393"/>
      <c r="F78" s="393"/>
      <c r="G78" s="393"/>
      <c r="H78" s="393"/>
      <c r="I78" s="393"/>
      <c r="J78" s="393"/>
      <c r="K78" s="393"/>
      <c r="L78" s="393"/>
      <c r="M78" s="393"/>
      <c r="N78" s="393"/>
      <c r="O78" s="393"/>
      <c r="P78" s="393"/>
      <c r="Q78" s="393"/>
      <c r="R78" s="393"/>
      <c r="S78" s="393"/>
      <c r="T78" s="393"/>
      <c r="U78" s="241"/>
      <c r="V78" s="225"/>
      <c r="AZ78" s="219"/>
    </row>
    <row r="79" spans="2:52" ht="9.75" customHeight="1">
      <c r="B79" s="227"/>
      <c r="C79" s="289"/>
      <c r="D79" s="321"/>
      <c r="E79" s="321"/>
      <c r="F79" s="321"/>
      <c r="G79" s="321"/>
      <c r="H79" s="321"/>
      <c r="I79" s="321"/>
      <c r="J79" s="321"/>
      <c r="K79" s="321"/>
      <c r="L79" s="321"/>
      <c r="M79" s="321"/>
      <c r="N79" s="321"/>
      <c r="O79" s="321"/>
      <c r="P79" s="321"/>
      <c r="Q79" s="321"/>
      <c r="R79" s="322"/>
      <c r="S79" s="322"/>
      <c r="T79" s="323"/>
      <c r="U79" s="290"/>
      <c r="V79" s="225"/>
      <c r="AZ79" s="219" t="s">
        <v>245</v>
      </c>
    </row>
    <row r="80" spans="2:52" ht="5.25" customHeight="1" thickBot="1">
      <c r="B80" s="227"/>
      <c r="C80" s="224"/>
      <c r="D80" s="224"/>
      <c r="E80" s="224"/>
      <c r="F80" s="224"/>
      <c r="G80" s="224"/>
      <c r="H80" s="224"/>
      <c r="I80" s="224"/>
      <c r="J80" s="224"/>
      <c r="K80" s="224"/>
      <c r="L80" s="224"/>
      <c r="M80" s="224"/>
      <c r="N80" s="224"/>
      <c r="O80" s="224"/>
      <c r="P80" s="224"/>
      <c r="Q80" s="224"/>
      <c r="R80" s="229"/>
      <c r="S80" s="229"/>
      <c r="T80" s="324"/>
      <c r="U80" s="224"/>
      <c r="V80" s="225"/>
      <c r="AZ80" s="219"/>
    </row>
    <row r="81" spans="2:52" ht="4.5" customHeight="1">
      <c r="B81" s="227"/>
      <c r="C81" s="325"/>
      <c r="D81" s="326"/>
      <c r="E81" s="326"/>
      <c r="F81" s="326"/>
      <c r="G81" s="326"/>
      <c r="H81" s="326"/>
      <c r="I81" s="326"/>
      <c r="J81" s="326"/>
      <c r="K81" s="326"/>
      <c r="L81" s="326"/>
      <c r="M81" s="326"/>
      <c r="N81" s="326"/>
      <c r="O81" s="326"/>
      <c r="P81" s="326"/>
      <c r="Q81" s="326"/>
      <c r="R81" s="327"/>
      <c r="S81" s="327"/>
      <c r="T81" s="328"/>
      <c r="U81" s="329"/>
      <c r="V81" s="225"/>
      <c r="AZ81" s="219" t="s">
        <v>245</v>
      </c>
    </row>
    <row r="82" spans="2:52" ht="29.25" customHeight="1">
      <c r="B82" s="227"/>
      <c r="C82" s="330"/>
      <c r="D82" s="247" t="s">
        <v>25</v>
      </c>
      <c r="E82" s="247"/>
      <c r="F82" s="247"/>
      <c r="G82" s="247"/>
      <c r="H82" s="247"/>
      <c r="I82" s="247"/>
      <c r="J82" s="224"/>
      <c r="K82" s="224"/>
      <c r="L82" s="414" t="s">
        <v>26</v>
      </c>
      <c r="M82" s="414"/>
      <c r="N82" s="414"/>
      <c r="O82" s="414"/>
      <c r="P82" s="414"/>
      <c r="Q82" s="414"/>
      <c r="R82" s="414"/>
      <c r="S82" s="414"/>
      <c r="T82" s="414"/>
      <c r="U82" s="331"/>
      <c r="V82" s="225"/>
      <c r="AZ82" s="219" t="s">
        <v>245</v>
      </c>
    </row>
    <row r="83" spans="2:52" ht="18" customHeight="1">
      <c r="B83" s="227"/>
      <c r="C83" s="330"/>
      <c r="D83" s="301"/>
      <c r="E83" s="301"/>
      <c r="F83" s="301"/>
      <c r="G83" s="332"/>
      <c r="H83" s="332"/>
      <c r="I83" s="332"/>
      <c r="J83" s="332"/>
      <c r="K83" s="332"/>
      <c r="L83" s="332"/>
      <c r="M83" s="332"/>
      <c r="N83" s="415" t="s">
        <v>269</v>
      </c>
      <c r="O83" s="415"/>
      <c r="P83" s="415"/>
      <c r="Q83" s="332"/>
      <c r="R83" s="333" t="s">
        <v>27</v>
      </c>
      <c r="S83" s="332"/>
      <c r="T83" s="332"/>
      <c r="U83" s="331"/>
      <c r="V83" s="225"/>
      <c r="AZ83" s="219" t="s">
        <v>245</v>
      </c>
    </row>
    <row r="84" spans="2:52" ht="19.5" customHeight="1">
      <c r="B84" s="227"/>
      <c r="C84" s="330"/>
      <c r="D84" s="301"/>
      <c r="E84" s="301"/>
      <c r="F84" s="301"/>
      <c r="G84" s="224"/>
      <c r="H84" s="224"/>
      <c r="I84" s="224"/>
      <c r="J84" s="224"/>
      <c r="K84" s="224"/>
      <c r="L84" s="334" t="s">
        <v>282</v>
      </c>
      <c r="M84" s="224"/>
      <c r="N84" s="416">
        <f>T40</f>
        <v>0</v>
      </c>
      <c r="O84" s="416"/>
      <c r="P84" s="416"/>
      <c r="Q84" s="255"/>
      <c r="R84" s="335">
        <f>IF(R85="","",(IF(ABS(AF111)&lt;AG116,"SUPPLY  ≈  DEMAND",IF(N84&gt;N85,"DEMAND  &gt;  SUPPLY","SUPPLY  &gt;  DEMAND"))))</f>
      </c>
      <c r="S84" s="224"/>
      <c r="T84" s="336"/>
      <c r="U84" s="331"/>
      <c r="V84" s="225"/>
      <c r="AZ84" s="219" t="s">
        <v>245</v>
      </c>
    </row>
    <row r="85" spans="2:52" ht="18.75" customHeight="1">
      <c r="B85" s="227"/>
      <c r="C85" s="330"/>
      <c r="D85" s="301"/>
      <c r="E85" s="301"/>
      <c r="F85" s="301"/>
      <c r="G85" s="224"/>
      <c r="H85" s="224"/>
      <c r="I85" s="224"/>
      <c r="J85" s="224"/>
      <c r="K85" s="224"/>
      <c r="L85" s="334" t="s">
        <v>284</v>
      </c>
      <c r="M85" s="224"/>
      <c r="N85" s="416">
        <f>T75</f>
        <v>0</v>
      </c>
      <c r="O85" s="416"/>
      <c r="P85" s="416"/>
      <c r="Q85" s="255"/>
      <c r="R85" s="367">
        <f>IF(N84=0,"",IF(N85=0,"",(ROUND(N84/N85,4))))</f>
      </c>
      <c r="S85" s="224"/>
      <c r="T85" s="336"/>
      <c r="U85" s="331"/>
      <c r="V85" s="225"/>
      <c r="AZ85" s="219" t="s">
        <v>245</v>
      </c>
    </row>
    <row r="86" spans="2:52" ht="15.75" customHeight="1">
      <c r="B86" s="227"/>
      <c r="C86" s="330"/>
      <c r="D86" s="224"/>
      <c r="E86" s="224"/>
      <c r="F86" s="224"/>
      <c r="G86" s="224"/>
      <c r="H86" s="224"/>
      <c r="I86" s="224"/>
      <c r="J86" s="224"/>
      <c r="K86" s="224"/>
      <c r="L86" s="301"/>
      <c r="M86" s="224"/>
      <c r="N86" s="337"/>
      <c r="O86" s="255"/>
      <c r="P86" s="255"/>
      <c r="Q86" s="255"/>
      <c r="R86" s="224"/>
      <c r="S86" s="224"/>
      <c r="T86" s="336"/>
      <c r="U86" s="338"/>
      <c r="V86" s="339"/>
      <c r="AZ86" s="219" t="s">
        <v>245</v>
      </c>
    </row>
    <row r="87" spans="2:52" ht="15.75" customHeight="1">
      <c r="B87" s="227"/>
      <c r="C87" s="330"/>
      <c r="D87" s="417">
        <f>IF(R85="","",(IF(ABS(AF111)&lt;AG116,CONCATENATE(AG103,AG106,AG114),IF(N85&gt;N84,CONCATENATE(AG103,AG104,AG107,FIXED(AF109,0),AG108,AG112),CONCATENATE(AG103,AG105,AG109,FIXED(AF109,0),AG111,AG113)))))</f>
      </c>
      <c r="E87" s="417"/>
      <c r="F87" s="417"/>
      <c r="G87" s="417"/>
      <c r="H87" s="417"/>
      <c r="I87" s="417"/>
      <c r="J87" s="417"/>
      <c r="K87" s="417"/>
      <c r="L87" s="417"/>
      <c r="M87" s="417"/>
      <c r="N87" s="417"/>
      <c r="O87" s="417"/>
      <c r="P87" s="417"/>
      <c r="Q87" s="417"/>
      <c r="R87" s="417"/>
      <c r="S87" s="417"/>
      <c r="T87" s="417"/>
      <c r="U87" s="338"/>
      <c r="V87" s="339"/>
      <c r="AZ87" s="219" t="s">
        <v>245</v>
      </c>
    </row>
    <row r="88" spans="2:52" ht="15.75" customHeight="1">
      <c r="B88" s="227"/>
      <c r="C88" s="330"/>
      <c r="D88" s="417"/>
      <c r="E88" s="417"/>
      <c r="F88" s="417"/>
      <c r="G88" s="417"/>
      <c r="H88" s="417"/>
      <c r="I88" s="417"/>
      <c r="J88" s="417"/>
      <c r="K88" s="417"/>
      <c r="L88" s="417"/>
      <c r="M88" s="417"/>
      <c r="N88" s="417"/>
      <c r="O88" s="417"/>
      <c r="P88" s="417"/>
      <c r="Q88" s="417"/>
      <c r="R88" s="417"/>
      <c r="S88" s="417"/>
      <c r="T88" s="417"/>
      <c r="U88" s="338"/>
      <c r="V88" s="339"/>
      <c r="AZ88" s="219" t="s">
        <v>245</v>
      </c>
    </row>
    <row r="89" spans="2:52" ht="21.75" customHeight="1">
      <c r="B89" s="227"/>
      <c r="C89" s="330"/>
      <c r="D89" s="417"/>
      <c r="E89" s="417"/>
      <c r="F89" s="417"/>
      <c r="G89" s="417"/>
      <c r="H89" s="417"/>
      <c r="I89" s="417"/>
      <c r="J89" s="417"/>
      <c r="K89" s="417"/>
      <c r="L89" s="417"/>
      <c r="M89" s="417"/>
      <c r="N89" s="417"/>
      <c r="O89" s="417"/>
      <c r="P89" s="417"/>
      <c r="Q89" s="417"/>
      <c r="R89" s="417"/>
      <c r="S89" s="417"/>
      <c r="T89" s="417"/>
      <c r="U89" s="338"/>
      <c r="V89" s="339"/>
      <c r="AZ89" s="219" t="s">
        <v>245</v>
      </c>
    </row>
    <row r="90" spans="2:22" ht="9" customHeight="1" thickBot="1">
      <c r="B90" s="227"/>
      <c r="C90" s="341"/>
      <c r="D90" s="342"/>
      <c r="E90" s="342"/>
      <c r="F90" s="342"/>
      <c r="G90" s="342"/>
      <c r="H90" s="342"/>
      <c r="I90" s="342"/>
      <c r="J90" s="342"/>
      <c r="K90" s="342"/>
      <c r="L90" s="342"/>
      <c r="M90" s="342"/>
      <c r="N90" s="342"/>
      <c r="O90" s="342"/>
      <c r="P90" s="342"/>
      <c r="Q90" s="342"/>
      <c r="R90" s="342"/>
      <c r="S90" s="342"/>
      <c r="T90" s="342"/>
      <c r="U90" s="343"/>
      <c r="V90" s="339"/>
    </row>
    <row r="91" spans="2:22" ht="5.25" customHeight="1">
      <c r="B91" s="227"/>
      <c r="C91" s="224"/>
      <c r="D91" s="340"/>
      <c r="E91" s="340"/>
      <c r="F91" s="340"/>
      <c r="G91" s="340"/>
      <c r="H91" s="340"/>
      <c r="I91" s="340"/>
      <c r="J91" s="340"/>
      <c r="K91" s="340"/>
      <c r="L91" s="340"/>
      <c r="M91" s="340"/>
      <c r="N91" s="340"/>
      <c r="O91" s="340"/>
      <c r="P91" s="340"/>
      <c r="Q91" s="340"/>
      <c r="R91" s="340"/>
      <c r="S91" s="340"/>
      <c r="T91" s="340"/>
      <c r="U91" s="301"/>
      <c r="V91" s="339"/>
    </row>
    <row r="92" spans="2:22" ht="14.25" customHeight="1">
      <c r="B92" s="227"/>
      <c r="C92" s="344" t="s">
        <v>28</v>
      </c>
      <c r="D92" s="340"/>
      <c r="E92" s="340"/>
      <c r="F92" s="340"/>
      <c r="G92" s="340"/>
      <c r="H92" s="340"/>
      <c r="I92" s="340"/>
      <c r="J92" s="340"/>
      <c r="K92" s="340"/>
      <c r="L92" s="340"/>
      <c r="M92" s="340"/>
      <c r="N92" s="340"/>
      <c r="O92" s="340"/>
      <c r="P92" s="340"/>
      <c r="Q92" s="340"/>
      <c r="R92" s="340"/>
      <c r="S92" s="340"/>
      <c r="T92" s="340"/>
      <c r="U92" s="301"/>
      <c r="V92" s="339"/>
    </row>
    <row r="93" spans="2:22" ht="4.5" customHeight="1" thickBot="1">
      <c r="B93" s="345"/>
      <c r="C93" s="346"/>
      <c r="D93" s="346"/>
      <c r="E93" s="346"/>
      <c r="F93" s="346"/>
      <c r="G93" s="346"/>
      <c r="H93" s="346"/>
      <c r="I93" s="346"/>
      <c r="J93" s="346"/>
      <c r="K93" s="346"/>
      <c r="L93" s="346"/>
      <c r="M93" s="346"/>
      <c r="N93" s="347"/>
      <c r="O93" s="347"/>
      <c r="P93" s="347"/>
      <c r="Q93" s="347"/>
      <c r="R93" s="346"/>
      <c r="S93" s="346"/>
      <c r="T93" s="348"/>
      <c r="U93" s="349"/>
      <c r="V93" s="350"/>
    </row>
    <row r="94" spans="2:22" ht="21" customHeight="1" thickTop="1">
      <c r="B94" s="224"/>
      <c r="C94" s="224"/>
      <c r="D94" s="224"/>
      <c r="E94" s="224"/>
      <c r="F94" s="224"/>
      <c r="G94" s="224"/>
      <c r="H94" s="224"/>
      <c r="I94" s="224"/>
      <c r="J94" s="224"/>
      <c r="K94" s="224"/>
      <c r="L94" s="224"/>
      <c r="M94" s="224"/>
      <c r="N94" s="255"/>
      <c r="O94" s="255"/>
      <c r="P94" s="255"/>
      <c r="Q94" s="255"/>
      <c r="R94" s="224"/>
      <c r="S94" s="224"/>
      <c r="T94" s="336"/>
      <c r="U94" s="301"/>
      <c r="V94" s="301"/>
    </row>
    <row r="95" spans="2:22" ht="24.75" customHeight="1" hidden="1">
      <c r="B95" s="224"/>
      <c r="C95" s="224"/>
      <c r="D95" s="411"/>
      <c r="E95" s="411"/>
      <c r="F95" s="411"/>
      <c r="G95" s="412"/>
      <c r="H95" s="412"/>
      <c r="I95" s="412"/>
      <c r="J95" s="412"/>
      <c r="K95" s="412"/>
      <c r="L95" s="412"/>
      <c r="M95" s="412"/>
      <c r="N95" s="412"/>
      <c r="O95" s="412"/>
      <c r="P95" s="412"/>
      <c r="Q95" s="412"/>
      <c r="R95" s="412"/>
      <c r="S95" s="412"/>
      <c r="T95" s="412"/>
      <c r="U95" s="301"/>
      <c r="V95" s="301"/>
    </row>
    <row r="96" spans="2:22" ht="24.75" customHeight="1" hidden="1">
      <c r="B96" s="224"/>
      <c r="C96" s="224"/>
      <c r="D96" s="412"/>
      <c r="E96" s="412"/>
      <c r="F96" s="412"/>
      <c r="G96" s="412"/>
      <c r="H96" s="412"/>
      <c r="I96" s="412"/>
      <c r="J96" s="412"/>
      <c r="K96" s="412"/>
      <c r="L96" s="412"/>
      <c r="M96" s="412"/>
      <c r="N96" s="412"/>
      <c r="O96" s="412"/>
      <c r="P96" s="412"/>
      <c r="Q96" s="412"/>
      <c r="R96" s="412"/>
      <c r="S96" s="412"/>
      <c r="T96" s="412"/>
      <c r="U96" s="301"/>
      <c r="V96" s="301"/>
    </row>
    <row r="97" spans="2:22" ht="24.75" customHeight="1" hidden="1">
      <c r="B97" s="224"/>
      <c r="C97" s="224"/>
      <c r="D97" s="412"/>
      <c r="E97" s="412"/>
      <c r="F97" s="412"/>
      <c r="G97" s="412"/>
      <c r="H97" s="412"/>
      <c r="I97" s="412"/>
      <c r="J97" s="412"/>
      <c r="K97" s="412"/>
      <c r="L97" s="412"/>
      <c r="M97" s="412"/>
      <c r="N97" s="412"/>
      <c r="O97" s="412"/>
      <c r="P97" s="412"/>
      <c r="Q97" s="412"/>
      <c r="R97" s="412"/>
      <c r="S97" s="412"/>
      <c r="T97" s="412"/>
      <c r="U97" s="301"/>
      <c r="V97" s="301"/>
    </row>
    <row r="98" spans="2:22" ht="24.75" customHeight="1" hidden="1">
      <c r="B98" s="301"/>
      <c r="C98" s="301"/>
      <c r="D98" s="412"/>
      <c r="E98" s="412"/>
      <c r="F98" s="412"/>
      <c r="G98" s="412"/>
      <c r="H98" s="412"/>
      <c r="I98" s="412"/>
      <c r="J98" s="412"/>
      <c r="K98" s="412"/>
      <c r="L98" s="412"/>
      <c r="M98" s="412"/>
      <c r="N98" s="412"/>
      <c r="O98" s="412"/>
      <c r="P98" s="412"/>
      <c r="Q98" s="412"/>
      <c r="R98" s="412"/>
      <c r="S98" s="412"/>
      <c r="T98" s="412"/>
      <c r="U98" s="301"/>
      <c r="V98" s="301"/>
    </row>
    <row r="99" spans="2:61" ht="24.75" customHeight="1" hidden="1">
      <c r="B99" s="301"/>
      <c r="C99" s="301"/>
      <c r="D99" s="412"/>
      <c r="E99" s="412"/>
      <c r="F99" s="412"/>
      <c r="G99" s="412"/>
      <c r="H99" s="412"/>
      <c r="I99" s="412"/>
      <c r="J99" s="412"/>
      <c r="K99" s="412"/>
      <c r="L99" s="412"/>
      <c r="M99" s="412"/>
      <c r="N99" s="412"/>
      <c r="O99" s="412"/>
      <c r="P99" s="412"/>
      <c r="Q99" s="412"/>
      <c r="R99" s="412"/>
      <c r="S99" s="412"/>
      <c r="T99" s="412"/>
      <c r="U99" s="301"/>
      <c r="V99" s="301"/>
      <c r="AZ99" s="413" t="s">
        <v>310</v>
      </c>
      <c r="BA99" s="413"/>
      <c r="BB99" s="413"/>
      <c r="BC99" s="413"/>
      <c r="BD99" s="413"/>
      <c r="BE99" s="413"/>
      <c r="BI99" s="218" t="s">
        <v>311</v>
      </c>
    </row>
    <row r="100" spans="2:69" ht="49.5" customHeight="1" hidden="1">
      <c r="B100" s="301"/>
      <c r="C100" s="301"/>
      <c r="D100" s="301"/>
      <c r="E100" s="301"/>
      <c r="F100" s="301"/>
      <c r="G100" s="301"/>
      <c r="H100" s="301"/>
      <c r="I100" s="301"/>
      <c r="J100" s="301"/>
      <c r="K100" s="301"/>
      <c r="L100" s="301"/>
      <c r="M100" s="301"/>
      <c r="N100" s="301"/>
      <c r="O100" s="301"/>
      <c r="P100" s="301"/>
      <c r="Q100" s="301"/>
      <c r="R100" s="301"/>
      <c r="S100" s="301"/>
      <c r="T100" s="301"/>
      <c r="U100" s="301"/>
      <c r="V100" s="301"/>
      <c r="AX100" s="351" t="s">
        <v>29</v>
      </c>
      <c r="AY100" s="218">
        <v>1</v>
      </c>
      <c r="AZ100" s="352" t="s">
        <v>30</v>
      </c>
      <c r="BA100" s="353" t="s">
        <v>121</v>
      </c>
      <c r="BB100" s="353" t="s">
        <v>244</v>
      </c>
      <c r="BC100" s="353" t="s">
        <v>241</v>
      </c>
      <c r="BD100" s="353" t="s">
        <v>239</v>
      </c>
      <c r="BE100" s="353" t="s">
        <v>240</v>
      </c>
      <c r="BF100" s="353" t="s">
        <v>452</v>
      </c>
      <c r="BG100" s="254" t="s">
        <v>30</v>
      </c>
      <c r="BH100" s="254" t="s">
        <v>33</v>
      </c>
      <c r="BI100" s="254" t="s">
        <v>34</v>
      </c>
      <c r="BL100" s="317" t="s">
        <v>311</v>
      </c>
      <c r="BM100" s="353" t="s">
        <v>121</v>
      </c>
      <c r="BN100" s="353" t="s">
        <v>244</v>
      </c>
      <c r="BO100" s="353" t="s">
        <v>241</v>
      </c>
      <c r="BP100" s="353" t="s">
        <v>239</v>
      </c>
      <c r="BQ100" s="353" t="s">
        <v>240</v>
      </c>
    </row>
    <row r="101" spans="2:69" ht="24.75" customHeight="1" hidden="1">
      <c r="B101" s="301"/>
      <c r="C101" s="301"/>
      <c r="U101" s="301"/>
      <c r="V101" s="301"/>
      <c r="AY101" s="218">
        <v>2</v>
      </c>
      <c r="AZ101" s="254"/>
      <c r="BA101" s="254"/>
      <c r="BG101" s="254"/>
      <c r="BH101" s="228"/>
      <c r="BI101" s="228"/>
      <c r="BL101" s="352"/>
      <c r="BM101" s="353"/>
      <c r="BN101" s="353"/>
      <c r="BO101" s="353"/>
      <c r="BP101" s="353"/>
      <c r="BQ101" s="353"/>
    </row>
    <row r="102" spans="50:69" ht="24.75" customHeight="1" hidden="1">
      <c r="AX102" s="218" t="s">
        <v>31</v>
      </c>
      <c r="AY102" s="218">
        <v>3</v>
      </c>
      <c r="AZ102" s="254" t="str">
        <f>'Land Use Chart'!A4</f>
        <v>PORT AND TERMINAL</v>
      </c>
      <c r="BA102" s="354">
        <f>'Land Use Chart'!H4</f>
        <v>0</v>
      </c>
      <c r="BB102" s="263"/>
      <c r="BF102" s="263"/>
      <c r="BG102" s="254" t="str">
        <f>'Land Use Chart'!A4</f>
        <v>PORT AND TERMINAL</v>
      </c>
      <c r="BH102" s="253">
        <f>'Land Use Chart'!C4</f>
        <v>0</v>
      </c>
      <c r="BI102" s="355">
        <f>'Land Use Chart'!I4</f>
        <v>0</v>
      </c>
      <c r="BL102" s="254" t="str">
        <f>'Land Use Chart'!A4</f>
        <v>PORT AND TERMINAL</v>
      </c>
      <c r="BM102" s="354">
        <f>'Land Use Chart'!H4</f>
        <v>0</v>
      </c>
      <c r="BN102" s="263">
        <f>'Land Use Chart'!F4</f>
        <v>0</v>
      </c>
      <c r="BO102" s="220"/>
      <c r="BP102" s="220"/>
      <c r="BQ102" s="220"/>
    </row>
    <row r="103" spans="24:69" ht="24.75" customHeight="1" hidden="1">
      <c r="X103" s="254"/>
      <c r="Y103" s="254"/>
      <c r="Z103" s="254"/>
      <c r="AA103" s="254"/>
      <c r="AB103" s="254"/>
      <c r="AC103" s="228" t="s">
        <v>35</v>
      </c>
      <c r="AD103" s="228" t="s">
        <v>36</v>
      </c>
      <c r="AE103" s="228"/>
      <c r="AF103" s="228"/>
      <c r="AG103" s="254" t="s">
        <v>281</v>
      </c>
      <c r="AH103" s="228"/>
      <c r="AI103" s="228"/>
      <c r="AJ103" s="228"/>
      <c r="AY103" s="218">
        <v>4</v>
      </c>
      <c r="AZ103" s="245" t="str">
        <f>'Land Use Chart'!A5</f>
        <v>Truck Terminal</v>
      </c>
      <c r="BA103" s="354">
        <f>'Land Use Chart'!H5</f>
        <v>0</v>
      </c>
      <c r="BB103" s="263" t="str">
        <f>'Land Use Chart'!G5</f>
        <v>n/a</v>
      </c>
      <c r="BC103" s="263" t="s">
        <v>38</v>
      </c>
      <c r="BD103" s="263">
        <v>0</v>
      </c>
      <c r="BE103" s="263">
        <v>0</v>
      </c>
      <c r="BF103" s="263">
        <f>'Land Use Chart'!J5</f>
        <v>6.55</v>
      </c>
      <c r="BG103" s="245" t="str">
        <f>'Land Use Chart'!A5</f>
        <v>Truck Terminal</v>
      </c>
      <c r="BH103" s="253" t="str">
        <f>'Land Use Chart'!C5</f>
        <v>Acre</v>
      </c>
      <c r="BI103" s="355">
        <f>'Land Use Chart'!I5</f>
        <v>7.28</v>
      </c>
      <c r="BL103" s="245" t="str">
        <f>'Land Use Chart'!A5</f>
        <v>Truck Terminal</v>
      </c>
      <c r="BM103" s="354">
        <f>'Land Use Chart'!H5</f>
        <v>0</v>
      </c>
      <c r="BN103" s="263" t="str">
        <f>'Land Use Chart'!F5</f>
        <v>n/a</v>
      </c>
      <c r="BO103" s="263" t="s">
        <v>38</v>
      </c>
      <c r="BP103" s="263">
        <v>0</v>
      </c>
      <c r="BQ103" s="263">
        <v>0</v>
      </c>
    </row>
    <row r="104" spans="24:69" ht="24.75" customHeight="1" hidden="1">
      <c r="X104" s="254"/>
      <c r="Y104" s="228"/>
      <c r="Z104" s="228"/>
      <c r="AA104" s="228"/>
      <c r="AB104" s="228"/>
      <c r="AC104" s="228"/>
      <c r="AD104" s="228"/>
      <c r="AE104" s="228"/>
      <c r="AF104" s="228"/>
      <c r="AG104" s="228" t="s">
        <v>285</v>
      </c>
      <c r="AH104" s="228"/>
      <c r="AI104" s="228"/>
      <c r="AJ104" s="228"/>
      <c r="AY104" s="218">
        <v>5</v>
      </c>
      <c r="AZ104" s="254" t="str">
        <f>'Land Use Chart'!A6</f>
        <v>INDUSTRIAL</v>
      </c>
      <c r="BA104" s="354"/>
      <c r="BB104" s="263"/>
      <c r="BC104" s="263"/>
      <c r="BD104" s="263"/>
      <c r="BE104" s="263"/>
      <c r="BF104" s="263"/>
      <c r="BG104" s="245" t="str">
        <f>'Land Use Chart'!A6</f>
        <v>INDUSTRIAL</v>
      </c>
      <c r="BH104" s="253">
        <f>'Land Use Chart'!C6</f>
        <v>0</v>
      </c>
      <c r="BI104" s="355">
        <f>'Land Use Chart'!I6</f>
        <v>0</v>
      </c>
      <c r="BL104" s="254" t="str">
        <f>'Land Use Chart'!A6</f>
        <v>INDUSTRIAL</v>
      </c>
      <c r="BM104" s="354">
        <f>'Land Use Chart'!H6</f>
        <v>0</v>
      </c>
      <c r="BN104" s="263">
        <f>'Land Use Chart'!F6</f>
        <v>0</v>
      </c>
      <c r="BO104" s="263"/>
      <c r="BP104" s="263"/>
      <c r="BQ104" s="263"/>
    </row>
    <row r="105" spans="23:69" ht="24.75" customHeight="1" hidden="1">
      <c r="W105" s="218">
        <v>1</v>
      </c>
      <c r="X105" s="254"/>
      <c r="Y105" s="253"/>
      <c r="Z105" s="356"/>
      <c r="AA105" s="356"/>
      <c r="AB105" s="254"/>
      <c r="AC105" s="357" t="s">
        <v>336</v>
      </c>
      <c r="AD105" s="174">
        <f>'Summary of Roadway Costs'!C4</f>
        <v>425</v>
      </c>
      <c r="AE105" s="175">
        <f>'Summary of Roadway Costs'!D4</f>
        <v>2</v>
      </c>
      <c r="AF105" s="228"/>
      <c r="AG105" s="228" t="s">
        <v>286</v>
      </c>
      <c r="AH105" s="228"/>
      <c r="AI105" s="228"/>
      <c r="AJ105" s="228"/>
      <c r="AY105" s="218">
        <v>6</v>
      </c>
      <c r="AZ105" s="245" t="str">
        <f>'Land Use Chart'!A7</f>
        <v>General Light Industrial</v>
      </c>
      <c r="BA105" s="354">
        <f>'Land Use Chart'!H7</f>
        <v>0</v>
      </c>
      <c r="BB105" s="263" t="str">
        <f>'Land Use Chart'!G7</f>
        <v>T = 1.43(X) - 157.36</v>
      </c>
      <c r="BC105" s="263" t="s">
        <v>242</v>
      </c>
      <c r="BD105" s="263">
        <v>1.43</v>
      </c>
      <c r="BE105" s="263">
        <v>-157.36</v>
      </c>
      <c r="BF105" s="263">
        <f>'Land Use Chart'!J7</f>
        <v>0.97</v>
      </c>
      <c r="BG105" s="245" t="str">
        <f>'Land Use Chart'!A7</f>
        <v>General Light Industrial</v>
      </c>
      <c r="BH105" s="253" t="str">
        <f>'Land Use Chart'!C7</f>
        <v>1,000 SF GFA</v>
      </c>
      <c r="BI105" s="355">
        <f>'Land Use Chart'!I7</f>
        <v>0.92</v>
      </c>
      <c r="BL105" s="245" t="str">
        <f>'Land Use Chart'!A7</f>
        <v>General Light Industrial</v>
      </c>
      <c r="BM105" s="354">
        <f>'Land Use Chart'!H7</f>
        <v>0</v>
      </c>
      <c r="BN105" s="263" t="str">
        <f>'Land Use Chart'!F7</f>
        <v>T = 1.18(X) - 89.28</v>
      </c>
      <c r="BO105" s="263" t="s">
        <v>242</v>
      </c>
      <c r="BP105" s="263">
        <v>1.18</v>
      </c>
      <c r="BQ105" s="263">
        <v>-89.28</v>
      </c>
    </row>
    <row r="106" spans="23:69" ht="24.75" customHeight="1" hidden="1">
      <c r="W106" s="218">
        <v>2</v>
      </c>
      <c r="X106" s="245"/>
      <c r="Y106" s="253"/>
      <c r="Z106" s="356"/>
      <c r="AA106" s="356"/>
      <c r="AB106" s="358"/>
      <c r="AC106" s="357" t="s">
        <v>393</v>
      </c>
      <c r="AD106" s="174">
        <f>'Summary of Roadway Costs'!C5</f>
        <v>475</v>
      </c>
      <c r="AE106" s="175">
        <f>'Summary of Roadway Costs'!D5</f>
        <v>4</v>
      </c>
      <c r="AF106" s="228"/>
      <c r="AG106" s="228" t="s">
        <v>287</v>
      </c>
      <c r="AH106" s="228"/>
      <c r="AI106" s="228"/>
      <c r="AJ106" s="228"/>
      <c r="AY106" s="218">
        <v>7</v>
      </c>
      <c r="AZ106" s="245" t="str">
        <f>'Land Use Chart'!A8</f>
        <v>General Heavy Industrial</v>
      </c>
      <c r="BA106" s="354">
        <f>'Land Use Chart'!H8</f>
        <v>0</v>
      </c>
      <c r="BB106" s="263" t="str">
        <f>'Land Use Chart'!G8</f>
        <v>n/a</v>
      </c>
      <c r="BC106" s="263" t="s">
        <v>38</v>
      </c>
      <c r="BD106" s="263">
        <v>0</v>
      </c>
      <c r="BE106" s="263">
        <v>0</v>
      </c>
      <c r="BF106" s="263">
        <f>'Land Use Chart'!J8</f>
        <v>0.68</v>
      </c>
      <c r="BG106" s="245" t="str">
        <f>'Land Use Chart'!A8</f>
        <v>General Heavy Industrial</v>
      </c>
      <c r="BH106" s="253" t="str">
        <f>'Land Use Chart'!C8</f>
        <v>1,000 SF GFA</v>
      </c>
      <c r="BI106" s="355">
        <f>'Land Use Chart'!I8</f>
        <v>0.51</v>
      </c>
      <c r="BL106" s="245" t="str">
        <f>'Land Use Chart'!A8</f>
        <v>General Heavy Industrial</v>
      </c>
      <c r="BM106" s="354">
        <f>'Land Use Chart'!H8</f>
        <v>0</v>
      </c>
      <c r="BN106" s="263" t="str">
        <f>'Land Use Chart'!F8</f>
        <v>n/a</v>
      </c>
      <c r="BO106" s="263" t="s">
        <v>38</v>
      </c>
      <c r="BP106" s="263">
        <v>0</v>
      </c>
      <c r="BQ106" s="263">
        <v>0</v>
      </c>
    </row>
    <row r="107" spans="23:69" ht="24.75" customHeight="1" hidden="1">
      <c r="W107" s="218">
        <v>3</v>
      </c>
      <c r="X107" s="254"/>
      <c r="Y107" s="253"/>
      <c r="Z107" s="356"/>
      <c r="AA107" s="356"/>
      <c r="AB107" s="358"/>
      <c r="AC107" s="357" t="s">
        <v>395</v>
      </c>
      <c r="AD107" s="174">
        <f>'Summary of Roadway Costs'!C6</f>
        <v>525</v>
      </c>
      <c r="AE107" s="175">
        <f>'Summary of Roadway Costs'!D6</f>
        <v>4</v>
      </c>
      <c r="AG107" s="228" t="s">
        <v>43</v>
      </c>
      <c r="AH107" s="228"/>
      <c r="AI107" s="228"/>
      <c r="AJ107" s="228"/>
      <c r="AY107" s="218">
        <v>8</v>
      </c>
      <c r="AZ107" s="245" t="str">
        <f>'Land Use Chart'!A9</f>
        <v>Industrial Park</v>
      </c>
      <c r="BA107" s="354">
        <f>'Land Use Chart'!H9</f>
        <v>0</v>
      </c>
      <c r="BB107" s="263" t="str">
        <f>'Land Use Chart'!G9</f>
        <v>T = 0.78(X) + 30.48</v>
      </c>
      <c r="BC107" s="263" t="s">
        <v>242</v>
      </c>
      <c r="BD107" s="263">
        <v>0.78</v>
      </c>
      <c r="BE107" s="263">
        <v>30.48</v>
      </c>
      <c r="BF107" s="263">
        <f>'Land Use Chart'!J9</f>
        <v>0.85</v>
      </c>
      <c r="BG107" s="245" t="str">
        <f>'Land Use Chart'!A9</f>
        <v>Industrial Park</v>
      </c>
      <c r="BH107" s="253" t="str">
        <f>'Land Use Chart'!C9</f>
        <v>1,000 SF GFA</v>
      </c>
      <c r="BI107" s="355">
        <f>'Land Use Chart'!I9</f>
        <v>0.82</v>
      </c>
      <c r="BL107" s="245" t="str">
        <f>'Land Use Chart'!A9</f>
        <v>Industrial Park</v>
      </c>
      <c r="BM107" s="354">
        <f>'Land Use Chart'!H9</f>
        <v>0</v>
      </c>
      <c r="BN107" s="263" t="str">
        <f>'Land Use Chart'!F9</f>
        <v>Ln(T) = 0.79 Ln(X) + 0.91</v>
      </c>
      <c r="BO107" s="263" t="s">
        <v>243</v>
      </c>
      <c r="BP107" s="263">
        <v>0.79</v>
      </c>
      <c r="BQ107" s="263">
        <v>0.91</v>
      </c>
    </row>
    <row r="108" spans="23:69" ht="24.75" customHeight="1" hidden="1">
      <c r="W108" s="218">
        <v>4</v>
      </c>
      <c r="X108" s="245"/>
      <c r="Y108" s="253"/>
      <c r="Z108" s="356"/>
      <c r="AA108" s="356"/>
      <c r="AB108" s="358"/>
      <c r="AC108" s="357" t="s">
        <v>397</v>
      </c>
      <c r="AD108" s="174">
        <f>'Summary of Roadway Costs'!C7</f>
        <v>525</v>
      </c>
      <c r="AE108" s="175">
        <f>'Summary of Roadway Costs'!D7</f>
        <v>4</v>
      </c>
      <c r="AF108" s="359" t="e">
        <f>ROUND(T40/T75,4)*100-10000%</f>
        <v>#DIV/0!</v>
      </c>
      <c r="AG108" s="228" t="s">
        <v>288</v>
      </c>
      <c r="AY108" s="218">
        <v>9</v>
      </c>
      <c r="AZ108" s="245" t="str">
        <f>'Land Use Chart'!A10</f>
        <v>Warehousing</v>
      </c>
      <c r="BA108" s="354">
        <f>'Land Use Chart'!H10</f>
        <v>0</v>
      </c>
      <c r="BB108" s="263" t="str">
        <f>'Land Use Chart'!G10</f>
        <v>Ln(T) = 0.64 Ln(X) + 1.14</v>
      </c>
      <c r="BC108" s="263" t="s">
        <v>243</v>
      </c>
      <c r="BD108" s="263">
        <v>0.64</v>
      </c>
      <c r="BE108" s="263">
        <v>1.14</v>
      </c>
      <c r="BF108" s="263">
        <f>'Land Use Chart'!J10</f>
        <v>0.32</v>
      </c>
      <c r="BG108" s="245" t="str">
        <f>'Land Use Chart'!A10</f>
        <v>Warehousing</v>
      </c>
      <c r="BH108" s="253" t="str">
        <f>'Land Use Chart'!C10</f>
        <v>1,000 SF GFA</v>
      </c>
      <c r="BI108" s="355">
        <f>'Land Use Chart'!I10</f>
        <v>0.3</v>
      </c>
      <c r="BL108" s="245" t="str">
        <f>'Land Use Chart'!A10</f>
        <v>Warehousing</v>
      </c>
      <c r="BM108" s="354">
        <f>'Land Use Chart'!H10</f>
        <v>0</v>
      </c>
      <c r="BN108" s="263" t="str">
        <f>'Land Use Chart'!F10</f>
        <v>Ln(T) = 0.55 Ln(X) +1.88</v>
      </c>
      <c r="BO108" s="263" t="s">
        <v>243</v>
      </c>
      <c r="BP108" s="263">
        <v>0.55</v>
      </c>
      <c r="BQ108" s="263">
        <v>1.88</v>
      </c>
    </row>
    <row r="109" spans="23:69" ht="24.75" customHeight="1" hidden="1">
      <c r="W109" s="218">
        <v>5</v>
      </c>
      <c r="X109" s="245"/>
      <c r="Y109" s="253"/>
      <c r="Z109" s="356"/>
      <c r="AA109" s="356"/>
      <c r="AB109" s="358"/>
      <c r="AC109" s="357" t="s">
        <v>399</v>
      </c>
      <c r="AD109" s="174">
        <f>'Summary of Roadway Costs'!C8</f>
        <v>500</v>
      </c>
      <c r="AE109" s="175">
        <f>'Summary of Roadway Costs'!D8</f>
        <v>4</v>
      </c>
      <c r="AF109" s="359" t="e">
        <f>ROUND(T40/T75,4)*100</f>
        <v>#DIV/0!</v>
      </c>
      <c r="AG109" s="228" t="s">
        <v>289</v>
      </c>
      <c r="AY109" s="218">
        <v>10</v>
      </c>
      <c r="AZ109" s="245" t="str">
        <f>'Land Use Chart'!A11</f>
        <v>Mini-Warehouse</v>
      </c>
      <c r="BA109" s="354">
        <f>'Land Use Chart'!H11</f>
        <v>0</v>
      </c>
      <c r="BB109" s="263" t="str">
        <f>'Land Use Chart'!G11</f>
        <v>n/a</v>
      </c>
      <c r="BC109" s="263" t="s">
        <v>38</v>
      </c>
      <c r="BD109" s="263">
        <v>0</v>
      </c>
      <c r="BE109" s="263">
        <v>0</v>
      </c>
      <c r="BF109" s="263">
        <f>'Land Use Chart'!J11</f>
        <v>0.26</v>
      </c>
      <c r="BG109" s="245" t="str">
        <f>'Land Use Chart'!A11</f>
        <v>Mini-Warehouse</v>
      </c>
      <c r="BH109" s="253" t="str">
        <f>'Land Use Chart'!C11</f>
        <v>1,000 SF GFA</v>
      </c>
      <c r="BI109" s="355">
        <f>'Land Use Chart'!I11</f>
        <v>0.14</v>
      </c>
      <c r="BL109" s="245" t="str">
        <f>'Land Use Chart'!A11</f>
        <v>Mini-Warehouse</v>
      </c>
      <c r="BM109" s="354">
        <f>'Land Use Chart'!H11</f>
        <v>0</v>
      </c>
      <c r="BN109" s="263" t="str">
        <f>'Land Use Chart'!F11</f>
        <v>n/a</v>
      </c>
      <c r="BO109" s="263" t="s">
        <v>38</v>
      </c>
      <c r="BP109" s="263">
        <v>0</v>
      </c>
      <c r="BQ109" s="263">
        <v>0</v>
      </c>
    </row>
    <row r="110" spans="23:69" ht="24.75" customHeight="1" hidden="1">
      <c r="W110" s="218">
        <v>6</v>
      </c>
      <c r="X110" s="245"/>
      <c r="Y110" s="253"/>
      <c r="Z110" s="356"/>
      <c r="AA110" s="356"/>
      <c r="AB110" s="358"/>
      <c r="AC110" s="357" t="s">
        <v>401</v>
      </c>
      <c r="AD110" s="174">
        <f>'Summary of Roadway Costs'!C9</f>
        <v>550</v>
      </c>
      <c r="AE110" s="175">
        <f>'Summary of Roadway Costs'!D9</f>
        <v>4</v>
      </c>
      <c r="AH110" s="228"/>
      <c r="AI110" s="228"/>
      <c r="AJ110" s="228"/>
      <c r="AY110" s="218">
        <v>11</v>
      </c>
      <c r="AZ110" s="254" t="str">
        <f>'Land Use Chart'!A12</f>
        <v>RESIDENTIAL</v>
      </c>
      <c r="BA110" s="354"/>
      <c r="BB110" s="263"/>
      <c r="BC110" s="263"/>
      <c r="BD110" s="263"/>
      <c r="BE110" s="263"/>
      <c r="BF110" s="263"/>
      <c r="BG110" s="245" t="str">
        <f>'Land Use Chart'!A12</f>
        <v>RESIDENTIAL</v>
      </c>
      <c r="BH110" s="253">
        <f>'Land Use Chart'!C12</f>
        <v>0</v>
      </c>
      <c r="BI110" s="355">
        <f>'Land Use Chart'!I12</f>
        <v>0</v>
      </c>
      <c r="BL110" s="254" t="str">
        <f>'Land Use Chart'!A12</f>
        <v>RESIDENTIAL</v>
      </c>
      <c r="BM110" s="354">
        <f>'Land Use Chart'!H12</f>
        <v>0</v>
      </c>
      <c r="BN110" s="263">
        <f>'Land Use Chart'!F12</f>
        <v>0</v>
      </c>
      <c r="BO110" s="263"/>
      <c r="BP110" s="263"/>
      <c r="BQ110" s="263"/>
    </row>
    <row r="111" spans="23:69" ht="24.75" customHeight="1" hidden="1">
      <c r="W111" s="218">
        <v>7</v>
      </c>
      <c r="X111" s="245"/>
      <c r="Y111" s="253"/>
      <c r="Z111" s="356"/>
      <c r="AA111" s="356"/>
      <c r="AB111" s="358"/>
      <c r="AC111" s="357" t="s">
        <v>403</v>
      </c>
      <c r="AD111" s="174">
        <f>'Summary of Roadway Costs'!C10</f>
        <v>575</v>
      </c>
      <c r="AE111" s="175">
        <f>'Summary of Roadway Costs'!D10</f>
        <v>4</v>
      </c>
      <c r="AF111" s="360" t="e">
        <f>100%-R85</f>
        <v>#VALUE!</v>
      </c>
      <c r="AG111" s="228" t="s">
        <v>49</v>
      </c>
      <c r="AH111" s="228"/>
      <c r="AI111" s="228"/>
      <c r="AJ111" s="228"/>
      <c r="AY111" s="218">
        <v>12</v>
      </c>
      <c r="AZ111" s="245" t="str">
        <f>'Land Use Chart'!A13</f>
        <v>Single-Family Detached Housing</v>
      </c>
      <c r="BA111" s="354">
        <f>'Land Use Chart'!H13</f>
        <v>0</v>
      </c>
      <c r="BB111" s="263" t="str">
        <f>'Land Use Chart'!G13</f>
        <v>Ln(T) = 0.90 Ln(X) + .51</v>
      </c>
      <c r="BC111" s="263" t="s">
        <v>243</v>
      </c>
      <c r="BD111" s="263">
        <v>0.9</v>
      </c>
      <c r="BE111" s="263">
        <v>0.51</v>
      </c>
      <c r="BF111" s="263">
        <f>'Land Use Chart'!J13</f>
        <v>1</v>
      </c>
      <c r="BG111" s="245" t="str">
        <f>'Land Use Chart'!A13</f>
        <v>Single-Family Detached Housing</v>
      </c>
      <c r="BH111" s="253" t="str">
        <f>'Land Use Chart'!C13</f>
        <v>Dwelling Unit</v>
      </c>
      <c r="BI111" s="355">
        <f>'Land Use Chart'!I13</f>
        <v>0.75</v>
      </c>
      <c r="BL111" s="245" t="str">
        <f>'Land Use Chart'!A13</f>
        <v>Single-Family Detached Housing</v>
      </c>
      <c r="BM111" s="354">
        <f>'Land Use Chart'!H13</f>
        <v>0</v>
      </c>
      <c r="BN111" s="263" t="str">
        <f>'Land Use Chart'!F13</f>
        <v>T = 0.70(X) +9.74</v>
      </c>
      <c r="BO111" s="263" t="s">
        <v>242</v>
      </c>
      <c r="BP111" s="263">
        <v>0.7</v>
      </c>
      <c r="BQ111" s="263">
        <v>9.74</v>
      </c>
    </row>
    <row r="112" spans="23:69" ht="24.75" customHeight="1" hidden="1">
      <c r="W112" s="218">
        <v>8</v>
      </c>
      <c r="X112" s="245"/>
      <c r="Y112" s="253"/>
      <c r="Z112" s="356"/>
      <c r="AA112" s="356"/>
      <c r="AB112" s="358"/>
      <c r="AC112" s="357" t="s">
        <v>420</v>
      </c>
      <c r="AD112" s="174">
        <f>'Summary of Roadway Costs'!C11</f>
        <v>600</v>
      </c>
      <c r="AE112" s="175">
        <f>'Summary of Roadway Costs'!D11</f>
        <v>6</v>
      </c>
      <c r="AF112" s="218" t="e">
        <f>ABS(AF111)</f>
        <v>#VALUE!</v>
      </c>
      <c r="AG112" s="228" t="s">
        <v>290</v>
      </c>
      <c r="AY112" s="218">
        <v>13</v>
      </c>
      <c r="AZ112" s="245" t="str">
        <f>'Land Use Chart'!A14</f>
        <v>Apartment/Multi-family</v>
      </c>
      <c r="BA112" s="354">
        <f>'Land Use Chart'!H14</f>
        <v>0</v>
      </c>
      <c r="BB112" s="263" t="str">
        <f>'Land Use Chart'!G14</f>
        <v>T = 0.55(X) + 17.65</v>
      </c>
      <c r="BC112" s="263" t="s">
        <v>242</v>
      </c>
      <c r="BD112" s="263">
        <v>0.55</v>
      </c>
      <c r="BE112" s="263">
        <v>17.65</v>
      </c>
      <c r="BF112" s="263">
        <f>'Land Use Chart'!J14</f>
        <v>0.62</v>
      </c>
      <c r="BG112" s="245" t="str">
        <f>'Land Use Chart'!A14</f>
        <v>Apartment/Multi-family</v>
      </c>
      <c r="BH112" s="253" t="str">
        <f>'Land Use Chart'!C14</f>
        <v>Dwelling Unit</v>
      </c>
      <c r="BI112" s="355">
        <f>'Land Use Chart'!I14</f>
        <v>0.51</v>
      </c>
      <c r="BL112" s="245" t="str">
        <f>'Land Use Chart'!A14</f>
        <v>Apartment/Multi-family</v>
      </c>
      <c r="BM112" s="354">
        <f>'Land Use Chart'!H14</f>
        <v>0</v>
      </c>
      <c r="BN112" s="263" t="str">
        <f>'Land Use Chart'!F14</f>
        <v>T = 0.49(X) + 3.73</v>
      </c>
      <c r="BO112" s="263" t="s">
        <v>242</v>
      </c>
      <c r="BP112" s="263">
        <v>0.49</v>
      </c>
      <c r="BQ112" s="263">
        <v>3.73</v>
      </c>
    </row>
    <row r="113" spans="23:69" ht="49.5" customHeight="1" hidden="1">
      <c r="W113" s="218">
        <v>9</v>
      </c>
      <c r="X113" s="254"/>
      <c r="Y113" s="253"/>
      <c r="Z113" s="356"/>
      <c r="AA113" s="356"/>
      <c r="AB113" s="358"/>
      <c r="AC113" s="357" t="s">
        <v>406</v>
      </c>
      <c r="AD113" s="174">
        <f>'Summary of Roadway Costs'!C13</f>
        <v>650</v>
      </c>
      <c r="AE113" s="175">
        <f>'Summary of Roadway Costs'!D13</f>
        <v>4</v>
      </c>
      <c r="AG113" s="228" t="s">
        <v>291</v>
      </c>
      <c r="AY113" s="218">
        <v>14</v>
      </c>
      <c r="AZ113" s="245" t="str">
        <f>'Land Use Chart'!A15</f>
        <v>Residential Condominium/Townhome</v>
      </c>
      <c r="BA113" s="354">
        <f>'Land Use Chart'!H15</f>
        <v>0</v>
      </c>
      <c r="BB113" s="263" t="str">
        <f>'Land Use Chart'!G15</f>
        <v>Ln(T) = 0.82 Ln(X) + .32</v>
      </c>
      <c r="BC113" s="263" t="s">
        <v>243</v>
      </c>
      <c r="BD113" s="263">
        <v>0.82</v>
      </c>
      <c r="BE113" s="263">
        <v>0.32</v>
      </c>
      <c r="BF113" s="263">
        <f>'Land Use Chart'!J15</f>
        <v>0.52</v>
      </c>
      <c r="BG113" s="245" t="str">
        <f>'Land Use Chart'!A15</f>
        <v>Residential Condominium/Townhome</v>
      </c>
      <c r="BH113" s="253" t="str">
        <f>'Land Use Chart'!C15</f>
        <v>Dwelling Unit</v>
      </c>
      <c r="BI113" s="355">
        <f>'Land Use Chart'!I15</f>
        <v>0.44</v>
      </c>
      <c r="BL113" s="245" t="str">
        <f>'Land Use Chart'!A15</f>
        <v>Residential Condominium/Townhome</v>
      </c>
      <c r="BM113" s="354">
        <f>'Land Use Chart'!H15</f>
        <v>0</v>
      </c>
      <c r="BN113" s="263" t="str">
        <f>'Land Use Chart'!F15</f>
        <v>Ln(T) = 0.80 Ln(X) + 0.26</v>
      </c>
      <c r="BO113" s="263" t="s">
        <v>243</v>
      </c>
      <c r="BP113" s="263">
        <v>0.8</v>
      </c>
      <c r="BQ113" s="263">
        <v>0.26</v>
      </c>
    </row>
    <row r="114" spans="23:69" ht="24.75" customHeight="1" hidden="1">
      <c r="W114" s="218">
        <v>10</v>
      </c>
      <c r="X114" s="245"/>
      <c r="Y114" s="253"/>
      <c r="Z114" s="356"/>
      <c r="AA114" s="356"/>
      <c r="AB114" s="358"/>
      <c r="AC114" s="357" t="s">
        <v>408</v>
      </c>
      <c r="AD114" s="174">
        <f>'Summary of Roadway Costs'!C14</f>
        <v>625</v>
      </c>
      <c r="AE114" s="175">
        <f>'Summary of Roadway Costs'!D14</f>
        <v>4</v>
      </c>
      <c r="AG114" s="228" t="s">
        <v>292</v>
      </c>
      <c r="AH114" s="228"/>
      <c r="AI114" s="228"/>
      <c r="AJ114" s="228"/>
      <c r="AY114" s="218">
        <v>15</v>
      </c>
      <c r="AZ114" s="245" t="str">
        <f>'Land Use Chart'!A16</f>
        <v>Mobile Home Park</v>
      </c>
      <c r="BA114" s="354">
        <f>'Land Use Chart'!H16</f>
        <v>0</v>
      </c>
      <c r="BB114" s="263" t="str">
        <f>'Land Use Chart'!G16</f>
        <v>T = 0.57(X) + 2.06</v>
      </c>
      <c r="BC114" s="263" t="s">
        <v>242</v>
      </c>
      <c r="BD114" s="263">
        <v>0.57</v>
      </c>
      <c r="BE114" s="263">
        <v>2.06</v>
      </c>
      <c r="BF114" s="263">
        <f>'Land Use Chart'!J16</f>
        <v>0.59</v>
      </c>
      <c r="BG114" s="245" t="str">
        <f>'Land Use Chart'!A16</f>
        <v>Mobile Home Park</v>
      </c>
      <c r="BH114" s="253" t="str">
        <f>'Land Use Chart'!C16</f>
        <v>Dwelling Unit</v>
      </c>
      <c r="BI114" s="355">
        <f>'Land Use Chart'!I16</f>
        <v>0.44</v>
      </c>
      <c r="BL114" s="245" t="str">
        <f>'Land Use Chart'!A16</f>
        <v>Mobile Home Park</v>
      </c>
      <c r="BM114" s="354">
        <f>'Land Use Chart'!H16</f>
        <v>0</v>
      </c>
      <c r="BN114" s="263" t="str">
        <f>'Land Use Chart'!F16</f>
        <v>Ln(T) = 0.64Ln(X) + 0.96</v>
      </c>
      <c r="BO114" s="263" t="s">
        <v>243</v>
      </c>
      <c r="BP114" s="263">
        <v>0.64</v>
      </c>
      <c r="BQ114" s="263">
        <v>0.96</v>
      </c>
    </row>
    <row r="115" spans="23:69" ht="24.75" customHeight="1" hidden="1">
      <c r="W115" s="218">
        <v>11</v>
      </c>
      <c r="X115" s="245"/>
      <c r="Y115" s="253"/>
      <c r="Z115" s="356"/>
      <c r="AA115" s="356"/>
      <c r="AB115" s="358"/>
      <c r="AC115" s="357" t="s">
        <v>409</v>
      </c>
      <c r="AD115" s="174">
        <f>'Summary of Roadway Costs'!C15</f>
        <v>750</v>
      </c>
      <c r="AE115" s="175">
        <f>'Summary of Roadway Costs'!D15</f>
        <v>4</v>
      </c>
      <c r="AY115" s="218">
        <v>16</v>
      </c>
      <c r="AZ115" s="245" t="str">
        <f>'Land Use Chart'!A17</f>
        <v>Senior Adult Housing-Detached</v>
      </c>
      <c r="BA115" s="354">
        <f>'Land Use Chart'!H17</f>
        <v>0</v>
      </c>
      <c r="BB115" s="263" t="str">
        <f>'Land Use Chart'!G17</f>
        <v>Ln(T) = 0.75 Ln(X) +0.35</v>
      </c>
      <c r="BC115" s="263" t="s">
        <v>243</v>
      </c>
      <c r="BD115" s="263">
        <v>0.75</v>
      </c>
      <c r="BE115" s="263">
        <v>0.35</v>
      </c>
      <c r="BF115" s="263">
        <f>'Land Use Chart'!J17</f>
        <v>0.27</v>
      </c>
      <c r="BG115" s="245" t="str">
        <f>'Land Use Chart'!A17</f>
        <v>Senior Adult Housing-Detached</v>
      </c>
      <c r="BH115" s="253" t="str">
        <f>'Land Use Chart'!C17</f>
        <v>Dwelling Unit</v>
      </c>
      <c r="BI115" s="355">
        <f>'Land Use Chart'!I17</f>
        <v>0.22</v>
      </c>
      <c r="BL115" s="245" t="str">
        <f>'Land Use Chart'!A17</f>
        <v>Senior Adult Housing-Detached</v>
      </c>
      <c r="BM115" s="354">
        <f>'Land Use Chart'!H17</f>
        <v>0</v>
      </c>
      <c r="BN115" s="263" t="str">
        <f>'Land Use Chart'!F17</f>
        <v>T = 0.17(X) + 29.95</v>
      </c>
      <c r="BO115" s="263" t="s">
        <v>242</v>
      </c>
      <c r="BP115" s="263">
        <v>0.17</v>
      </c>
      <c r="BQ115" s="263">
        <v>29.95</v>
      </c>
    </row>
    <row r="116" spans="23:69" ht="24.75" customHeight="1" hidden="1">
      <c r="W116" s="218">
        <v>12</v>
      </c>
      <c r="X116" s="245"/>
      <c r="Y116" s="253"/>
      <c r="Z116" s="356"/>
      <c r="AA116" s="356"/>
      <c r="AB116" s="358"/>
      <c r="AC116" s="357" t="s">
        <v>411</v>
      </c>
      <c r="AD116" s="174">
        <f>'Summary of Roadway Costs'!C16</f>
        <v>600</v>
      </c>
      <c r="AE116" s="175">
        <f>'Summary of Roadway Costs'!D16</f>
        <v>4</v>
      </c>
      <c r="AF116" s="351" t="s">
        <v>56</v>
      </c>
      <c r="AG116" s="218">
        <v>0.05</v>
      </c>
      <c r="AY116" s="218">
        <v>17</v>
      </c>
      <c r="AZ116" s="245" t="str">
        <f>'Land Use Chart'!A18</f>
        <v>Senior Adult Housing-Attached</v>
      </c>
      <c r="BA116" s="354">
        <f>'Land Use Chart'!H18</f>
        <v>0</v>
      </c>
      <c r="BB116" s="263" t="str">
        <f>'Land Use Chart'!G18</f>
        <v>T = 0.24(X) + 1.64</v>
      </c>
      <c r="BC116" s="263" t="s">
        <v>242</v>
      </c>
      <c r="BD116" s="263">
        <v>0.24</v>
      </c>
      <c r="BE116" s="263">
        <v>1.64</v>
      </c>
      <c r="BF116" s="263">
        <f>'Land Use Chart'!J18</f>
        <v>0.25</v>
      </c>
      <c r="BG116" s="245" t="str">
        <f>'Land Use Chart'!A18</f>
        <v>Senior Adult Housing-Attached</v>
      </c>
      <c r="BH116" s="253" t="str">
        <f>'Land Use Chart'!C18</f>
        <v>Dwelling Unit</v>
      </c>
      <c r="BI116" s="355">
        <f>'Land Use Chart'!I18</f>
        <v>0.2</v>
      </c>
      <c r="BL116" s="245" t="str">
        <f>'Land Use Chart'!A18</f>
        <v>Senior Adult Housing-Attached</v>
      </c>
      <c r="BM116" s="354">
        <f>'Land Use Chart'!H18</f>
        <v>0</v>
      </c>
      <c r="BN116" s="263" t="str">
        <f>'Land Use Chart'!F18</f>
        <v>T = 0.20(X) - 0.13</v>
      </c>
      <c r="BO116" s="263" t="s">
        <v>242</v>
      </c>
      <c r="BP116" s="263">
        <v>0.2</v>
      </c>
      <c r="BQ116" s="263">
        <v>-0.13</v>
      </c>
    </row>
    <row r="117" spans="23:69" ht="24.75" customHeight="1" hidden="1">
      <c r="W117" s="218">
        <v>13</v>
      </c>
      <c r="X117" s="245"/>
      <c r="Y117" s="253"/>
      <c r="Z117" s="356"/>
      <c r="AA117" s="356"/>
      <c r="AB117" s="358"/>
      <c r="AC117" s="357" t="s">
        <v>413</v>
      </c>
      <c r="AD117" s="174">
        <f>'Summary of Roadway Costs'!C17</f>
        <v>750</v>
      </c>
      <c r="AE117" s="175">
        <f>'Summary of Roadway Costs'!D17</f>
        <v>6</v>
      </c>
      <c r="AY117" s="218">
        <v>18</v>
      </c>
      <c r="AZ117" s="245" t="str">
        <f>'Land Use Chart'!A19</f>
        <v>Assisted Living</v>
      </c>
      <c r="BA117" s="354">
        <f>'Land Use Chart'!H19</f>
        <v>0</v>
      </c>
      <c r="BB117" s="263" t="str">
        <f>'Land Use Chart'!G19</f>
        <v>n/a</v>
      </c>
      <c r="BC117" s="263" t="s">
        <v>38</v>
      </c>
      <c r="BD117" s="263">
        <v>0</v>
      </c>
      <c r="BE117" s="263">
        <v>0</v>
      </c>
      <c r="BF117" s="263">
        <f>'Land Use Chart'!J19</f>
        <v>0.22</v>
      </c>
      <c r="BG117" s="245" t="str">
        <f>'Land Use Chart'!A19</f>
        <v>Assisted Living</v>
      </c>
      <c r="BH117" s="253" t="str">
        <f>'Land Use Chart'!C19</f>
        <v>Beds</v>
      </c>
      <c r="BI117" s="355">
        <f>'Land Use Chart'!I19</f>
        <v>0.14</v>
      </c>
      <c r="BL117" s="245" t="str">
        <f>'Land Use Chart'!A19</f>
        <v>Assisted Living</v>
      </c>
      <c r="BM117" s="354">
        <f>'Land Use Chart'!H19</f>
        <v>0</v>
      </c>
      <c r="BN117" s="263" t="str">
        <f>'Land Use Chart'!F19</f>
        <v>n/a</v>
      </c>
      <c r="BO117" s="263" t="s">
        <v>38</v>
      </c>
      <c r="BP117" s="263">
        <v>0</v>
      </c>
      <c r="BQ117" s="263">
        <v>0</v>
      </c>
    </row>
    <row r="118" spans="23:69" ht="24.75" customHeight="1" hidden="1" thickBot="1">
      <c r="W118" s="218">
        <v>14</v>
      </c>
      <c r="X118" s="245"/>
      <c r="Y118" s="253"/>
      <c r="Z118" s="356"/>
      <c r="AA118" s="356"/>
      <c r="AB118" s="358"/>
      <c r="AC118" s="361" t="s">
        <v>421</v>
      </c>
      <c r="AD118" s="174">
        <f>'Summary of Roadway Costs'!C18</f>
        <v>825</v>
      </c>
      <c r="AE118" s="175">
        <f>'Summary of Roadway Costs'!D18</f>
        <v>8</v>
      </c>
      <c r="AY118" s="218">
        <v>19</v>
      </c>
      <c r="AZ118" s="254" t="str">
        <f>'Land Use Chart'!A20</f>
        <v>LODGING</v>
      </c>
      <c r="BA118" s="354"/>
      <c r="BB118" s="263"/>
      <c r="BC118" s="263"/>
      <c r="BD118" s="263"/>
      <c r="BE118" s="263"/>
      <c r="BF118" s="263"/>
      <c r="BG118" s="245" t="str">
        <f>'Land Use Chart'!A20</f>
        <v>LODGING</v>
      </c>
      <c r="BH118" s="253">
        <f>'Land Use Chart'!C20</f>
        <v>0</v>
      </c>
      <c r="BI118" s="355">
        <f>'Land Use Chart'!I20</f>
        <v>0</v>
      </c>
      <c r="BL118" s="254" t="str">
        <f>'Land Use Chart'!A20</f>
        <v>LODGING</v>
      </c>
      <c r="BM118" s="354">
        <f>'Land Use Chart'!H20</f>
        <v>0</v>
      </c>
      <c r="BN118" s="263">
        <f>'Land Use Chart'!F20</f>
        <v>0</v>
      </c>
      <c r="BO118" s="263"/>
      <c r="BP118" s="263"/>
      <c r="BQ118" s="263"/>
    </row>
    <row r="119" spans="23:69" ht="24.75" customHeight="1" hidden="1">
      <c r="W119" s="218">
        <v>15</v>
      </c>
      <c r="X119" s="245"/>
      <c r="Y119" s="253"/>
      <c r="Z119" s="356"/>
      <c r="AA119" s="356"/>
      <c r="AB119" s="358"/>
      <c r="AG119" s="362" t="s">
        <v>298</v>
      </c>
      <c r="AY119" s="218">
        <v>20</v>
      </c>
      <c r="AZ119" s="245" t="str">
        <f>'Land Use Chart'!A21</f>
        <v>Hotel</v>
      </c>
      <c r="BA119" s="354">
        <f>'Land Use Chart'!H21</f>
        <v>0</v>
      </c>
      <c r="BB119" s="263" t="str">
        <f>'Land Use Chart'!G21</f>
        <v>n/a</v>
      </c>
      <c r="BC119" s="263" t="s">
        <v>38</v>
      </c>
      <c r="BD119" s="263">
        <v>0</v>
      </c>
      <c r="BE119" s="263">
        <v>0</v>
      </c>
      <c r="BF119" s="263">
        <f>'Land Use Chart'!J21</f>
        <v>0.6</v>
      </c>
      <c r="BG119" s="245" t="str">
        <f>'Land Use Chart'!A21</f>
        <v>Hotel</v>
      </c>
      <c r="BH119" s="253" t="str">
        <f>'Land Use Chart'!C21</f>
        <v>Room</v>
      </c>
      <c r="BI119" s="355">
        <f>'Land Use Chart'!I21</f>
        <v>0.53</v>
      </c>
      <c r="BL119" s="245" t="str">
        <f>'Land Use Chart'!A21</f>
        <v>Hotel</v>
      </c>
      <c r="BM119" s="354">
        <f>'Land Use Chart'!H21</f>
        <v>0</v>
      </c>
      <c r="BN119" s="263" t="str">
        <f>'Land Use Chart'!F21</f>
        <v>n/a</v>
      </c>
      <c r="BO119" s="263" t="s">
        <v>38</v>
      </c>
      <c r="BP119" s="263">
        <v>0</v>
      </c>
      <c r="BQ119" s="263">
        <v>0</v>
      </c>
    </row>
    <row r="120" spans="23:69" ht="24.75" customHeight="1" hidden="1">
      <c r="W120" s="218">
        <v>16</v>
      </c>
      <c r="X120" s="245"/>
      <c r="Y120" s="253"/>
      <c r="Z120" s="356"/>
      <c r="AA120" s="356"/>
      <c r="AB120" s="358"/>
      <c r="AG120" s="264" t="s">
        <v>297</v>
      </c>
      <c r="AY120" s="218">
        <v>21</v>
      </c>
      <c r="AZ120" s="245" t="str">
        <f>'Land Use Chart'!A22</f>
        <v>Motel / Other Lodging Facilities</v>
      </c>
      <c r="BA120" s="354">
        <f>'Land Use Chart'!H22</f>
        <v>0</v>
      </c>
      <c r="BB120" s="263" t="str">
        <f>'Land Use Chart'!G22</f>
        <v>T = 0.94(X) - 0.51</v>
      </c>
      <c r="BC120" s="263" t="s">
        <v>242</v>
      </c>
      <c r="BD120" s="263">
        <v>0.94</v>
      </c>
      <c r="BE120" s="263">
        <v>-0.51</v>
      </c>
      <c r="BF120" s="263">
        <f>'Land Use Chart'!J22</f>
        <v>0.47</v>
      </c>
      <c r="BG120" s="245" t="str">
        <f>'Land Use Chart'!A22</f>
        <v>Motel / Other Lodging Facilities</v>
      </c>
      <c r="BH120" s="253" t="str">
        <f>'Land Use Chart'!C22</f>
        <v>Room</v>
      </c>
      <c r="BI120" s="355">
        <f>'Land Use Chart'!I22</f>
        <v>0.45</v>
      </c>
      <c r="BL120" s="245" t="str">
        <f>'Land Use Chart'!A22</f>
        <v>Motel / Other Lodging Facilities</v>
      </c>
      <c r="BM120" s="354">
        <f>'Land Use Chart'!H22</f>
        <v>0</v>
      </c>
      <c r="BN120" s="263" t="str">
        <f>'Land Use Chart'!F22</f>
        <v>Ln(T) = 0.92 Ln(X) - 0.46</v>
      </c>
      <c r="BO120" s="263" t="s">
        <v>243</v>
      </c>
      <c r="BP120" s="263">
        <v>0.92</v>
      </c>
      <c r="BQ120" s="263">
        <v>-0.46</v>
      </c>
    </row>
    <row r="121" spans="23:69" ht="24.75" customHeight="1" hidden="1">
      <c r="W121" s="218">
        <v>17</v>
      </c>
      <c r="X121" s="254"/>
      <c r="Y121" s="253"/>
      <c r="Z121" s="356"/>
      <c r="AA121" s="356"/>
      <c r="AB121" s="358"/>
      <c r="AY121" s="218">
        <v>22</v>
      </c>
      <c r="AZ121" s="254" t="str">
        <f>'Land Use Chart'!A23</f>
        <v>RECREATIONAL</v>
      </c>
      <c r="BA121" s="354"/>
      <c r="BB121" s="263"/>
      <c r="BC121" s="263"/>
      <c r="BD121" s="263"/>
      <c r="BE121" s="263"/>
      <c r="BF121" s="263"/>
      <c r="BG121" s="245" t="str">
        <f>'Land Use Chart'!A23</f>
        <v>RECREATIONAL</v>
      </c>
      <c r="BH121" s="253">
        <f>'Land Use Chart'!C23</f>
        <v>0</v>
      </c>
      <c r="BI121" s="355">
        <f>'Land Use Chart'!I23</f>
        <v>0</v>
      </c>
      <c r="BL121" s="254" t="str">
        <f>'Land Use Chart'!A23</f>
        <v>RECREATIONAL</v>
      </c>
      <c r="BM121" s="354">
        <f>'Land Use Chart'!H23</f>
        <v>0</v>
      </c>
      <c r="BN121" s="263">
        <f>'Land Use Chart'!F23</f>
        <v>0</v>
      </c>
      <c r="BO121" s="263"/>
      <c r="BP121" s="263"/>
      <c r="BQ121" s="263"/>
    </row>
    <row r="122" spans="23:69" ht="24.75" customHeight="1" hidden="1">
      <c r="W122" s="218">
        <v>18</v>
      </c>
      <c r="X122" s="245"/>
      <c r="Y122" s="253"/>
      <c r="Z122" s="356"/>
      <c r="AA122" s="356"/>
      <c r="AB122" s="358"/>
      <c r="AY122" s="218">
        <v>23</v>
      </c>
      <c r="AZ122" s="245" t="str">
        <f>'Land Use Chart'!A24</f>
        <v>Golf Driving Range</v>
      </c>
      <c r="BA122" s="354">
        <f>'Land Use Chart'!H24</f>
        <v>0</v>
      </c>
      <c r="BB122" s="263" t="str">
        <f>'Land Use Chart'!G24</f>
        <v>n/a</v>
      </c>
      <c r="BC122" s="263" t="s">
        <v>38</v>
      </c>
      <c r="BD122" s="263">
        <v>0</v>
      </c>
      <c r="BE122" s="263">
        <v>0</v>
      </c>
      <c r="BF122" s="263">
        <f>'Land Use Chart'!J24</f>
        <v>1.25</v>
      </c>
      <c r="BG122" s="245" t="str">
        <f>'Land Use Chart'!A24</f>
        <v>Golf Driving Range</v>
      </c>
      <c r="BH122" s="253" t="str">
        <f>'Land Use Chart'!C24</f>
        <v>Tee</v>
      </c>
      <c r="BI122" s="355">
        <f>'Land Use Chart'!I24</f>
        <v>0.4</v>
      </c>
      <c r="BL122" s="245" t="str">
        <f>'Land Use Chart'!A24</f>
        <v>Golf Driving Range</v>
      </c>
      <c r="BM122" s="354">
        <f>'Land Use Chart'!H24</f>
        <v>0</v>
      </c>
      <c r="BN122" s="263" t="str">
        <f>'Land Use Chart'!F24</f>
        <v>n/a</v>
      </c>
      <c r="BO122" s="263" t="s">
        <v>38</v>
      </c>
      <c r="BP122" s="263">
        <v>0</v>
      </c>
      <c r="BQ122" s="263">
        <v>0</v>
      </c>
    </row>
    <row r="123" spans="23:69" ht="24.75" customHeight="1" hidden="1">
      <c r="W123" s="218">
        <v>19</v>
      </c>
      <c r="X123" s="245"/>
      <c r="Y123" s="253"/>
      <c r="Z123" s="356"/>
      <c r="AA123" s="356"/>
      <c r="AB123" s="358"/>
      <c r="AY123" s="218">
        <v>24</v>
      </c>
      <c r="AZ123" s="245" t="str">
        <f>'Land Use Chart'!A25</f>
        <v>Golf Course</v>
      </c>
      <c r="BA123" s="354">
        <f>'Land Use Chart'!H25</f>
        <v>0</v>
      </c>
      <c r="BB123" s="263" t="str">
        <f>'Land Use Chart'!G25</f>
        <v>T = 0.13(X) + 31.30</v>
      </c>
      <c r="BC123" s="263" t="s">
        <v>242</v>
      </c>
      <c r="BD123" s="263">
        <v>0.13</v>
      </c>
      <c r="BE123" s="263">
        <v>31.3</v>
      </c>
      <c r="BF123" s="263">
        <f>'Land Use Chart'!J25</f>
        <v>0.3</v>
      </c>
      <c r="BG123" s="245" t="str">
        <f>'Land Use Chart'!A25</f>
        <v>Golf Course</v>
      </c>
      <c r="BH123" s="253" t="str">
        <f>'Land Use Chart'!C25</f>
        <v>Acre</v>
      </c>
      <c r="BI123" s="355">
        <f>'Land Use Chart'!I25</f>
        <v>0.21</v>
      </c>
      <c r="BL123" s="245" t="str">
        <f>'Land Use Chart'!A25</f>
        <v>Golf Course</v>
      </c>
      <c r="BM123" s="354">
        <f>'Land Use Chart'!H25</f>
        <v>0</v>
      </c>
      <c r="BN123" s="263" t="str">
        <f>'Land Use Chart'!F25</f>
        <v>Ln (T) = 0.63 Ln(X) +0.40</v>
      </c>
      <c r="BO123" s="263" t="s">
        <v>243</v>
      </c>
      <c r="BP123" s="263">
        <v>0.63</v>
      </c>
      <c r="BQ123" s="263">
        <v>0.4</v>
      </c>
    </row>
    <row r="124" spans="23:69" ht="24.75" customHeight="1" hidden="1">
      <c r="W124" s="218">
        <v>20</v>
      </c>
      <c r="X124" s="254"/>
      <c r="Y124" s="253"/>
      <c r="Z124" s="356"/>
      <c r="AA124" s="356"/>
      <c r="AB124" s="358"/>
      <c r="AY124" s="218">
        <v>25</v>
      </c>
      <c r="AZ124" s="245" t="str">
        <f>'Land Use Chart'!A26</f>
        <v>Recreational Community Center</v>
      </c>
      <c r="BA124" s="354">
        <f>'Land Use Chart'!H26</f>
        <v>0</v>
      </c>
      <c r="BB124" s="263" t="str">
        <f>'Land Use Chart'!G26</f>
        <v>n/a</v>
      </c>
      <c r="BC124" s="263" t="s">
        <v>243</v>
      </c>
      <c r="BD124" s="263">
        <v>0.58</v>
      </c>
      <c r="BE124" s="263">
        <v>2.21</v>
      </c>
      <c r="BF124" s="263">
        <f>'Land Use Chart'!J26</f>
        <v>2.74</v>
      </c>
      <c r="BG124" s="245" t="str">
        <f>'Land Use Chart'!A26</f>
        <v>Recreational Community Center</v>
      </c>
      <c r="BH124" s="253" t="str">
        <f>'Land Use Chart'!C26</f>
        <v>1,000 SF GFA</v>
      </c>
      <c r="BI124" s="355">
        <f>'Land Use Chart'!I26</f>
        <v>2.05</v>
      </c>
      <c r="BL124" s="245" t="str">
        <f>'Land Use Chart'!A26</f>
        <v>Recreational Community Center</v>
      </c>
      <c r="BM124" s="354">
        <f>'Land Use Chart'!H26</f>
        <v>0</v>
      </c>
      <c r="BN124" s="263" t="str">
        <f>'Land Use Chart'!F26</f>
        <v>n/a</v>
      </c>
      <c r="BO124" s="263" t="s">
        <v>38</v>
      </c>
      <c r="BP124" s="263">
        <v>0</v>
      </c>
      <c r="BQ124" s="263">
        <v>0</v>
      </c>
    </row>
    <row r="125" spans="23:69" ht="24.75" customHeight="1" hidden="1">
      <c r="W125" s="218">
        <v>21</v>
      </c>
      <c r="X125" s="245"/>
      <c r="Y125" s="253"/>
      <c r="Z125" s="356"/>
      <c r="AA125" s="356"/>
      <c r="AB125" s="358"/>
      <c r="AY125" s="218">
        <v>26</v>
      </c>
      <c r="AZ125" s="245" t="str">
        <f>'Land Use Chart'!A27</f>
        <v>Ice Skating Rink</v>
      </c>
      <c r="BA125" s="354">
        <f>'Land Use Chart'!H27</f>
        <v>0</v>
      </c>
      <c r="BB125" s="263" t="str">
        <f>'Land Use Chart'!G27</f>
        <v>n/a</v>
      </c>
      <c r="BC125" s="263" t="s">
        <v>38</v>
      </c>
      <c r="BD125" s="263">
        <v>0</v>
      </c>
      <c r="BE125" s="263">
        <v>0</v>
      </c>
      <c r="BF125" s="263">
        <f>'Land Use Chart'!J27</f>
        <v>2.36</v>
      </c>
      <c r="BG125" s="245" t="str">
        <f>'Land Use Chart'!A27</f>
        <v>Ice Skating Rink</v>
      </c>
      <c r="BH125" s="253" t="str">
        <f>'Land Use Chart'!C27</f>
        <v>1,000 SF GFA</v>
      </c>
      <c r="BI125" s="355">
        <f>'Land Use Chart'!I27</f>
        <v>0</v>
      </c>
      <c r="BL125" s="245" t="str">
        <f>'Land Use Chart'!A27</f>
        <v>Ice Skating Rink</v>
      </c>
      <c r="BM125" s="354">
        <f>'Land Use Chart'!H27</f>
        <v>0</v>
      </c>
      <c r="BN125" s="263" t="str">
        <f>'Land Use Chart'!F27</f>
        <v>n/a</v>
      </c>
      <c r="BO125" s="263" t="s">
        <v>38</v>
      </c>
      <c r="BP125" s="263">
        <v>0</v>
      </c>
      <c r="BQ125" s="263">
        <v>0</v>
      </c>
    </row>
    <row r="126" spans="23:69" ht="24.75" customHeight="1" hidden="1">
      <c r="W126" s="218">
        <v>22</v>
      </c>
      <c r="X126" s="245"/>
      <c r="Y126" s="253"/>
      <c r="Z126" s="356"/>
      <c r="AA126" s="356"/>
      <c r="AB126" s="358"/>
      <c r="AY126" s="218">
        <v>27</v>
      </c>
      <c r="AZ126" s="245" t="str">
        <f>'Land Use Chart'!A28</f>
        <v>Miniature Golf Course</v>
      </c>
      <c r="BA126" s="354">
        <f>'Land Use Chart'!H28</f>
        <v>0</v>
      </c>
      <c r="BB126" s="263" t="str">
        <f>'Land Use Chart'!G28</f>
        <v>n/a</v>
      </c>
      <c r="BC126" s="263" t="s">
        <v>38</v>
      </c>
      <c r="BD126" s="263">
        <v>0</v>
      </c>
      <c r="BE126" s="263">
        <v>0</v>
      </c>
      <c r="BF126" s="263">
        <f>'Land Use Chart'!J28</f>
        <v>0.33</v>
      </c>
      <c r="BG126" s="245" t="str">
        <f>'Land Use Chart'!A28</f>
        <v>Miniature Golf Course</v>
      </c>
      <c r="BH126" s="253" t="str">
        <f>'Land Use Chart'!C28</f>
        <v>Hole</v>
      </c>
      <c r="BI126" s="355">
        <f>'Land Use Chart'!I28</f>
        <v>0</v>
      </c>
      <c r="BL126" s="245" t="str">
        <f>'Land Use Chart'!A28</f>
        <v>Miniature Golf Course</v>
      </c>
      <c r="BM126" s="354">
        <f>'Land Use Chart'!H28</f>
        <v>0</v>
      </c>
      <c r="BN126" s="263" t="str">
        <f>'Land Use Chart'!F28</f>
        <v>n/a</v>
      </c>
      <c r="BO126" s="263" t="s">
        <v>38</v>
      </c>
      <c r="BP126" s="263">
        <v>0</v>
      </c>
      <c r="BQ126" s="263">
        <v>0</v>
      </c>
    </row>
    <row r="127" spans="23:69" ht="24.75" customHeight="1" hidden="1">
      <c r="W127" s="218">
        <v>23</v>
      </c>
      <c r="X127" s="245"/>
      <c r="Y127" s="253"/>
      <c r="Z127" s="356"/>
      <c r="AA127" s="356"/>
      <c r="AB127" s="358"/>
      <c r="AY127" s="218">
        <v>28</v>
      </c>
      <c r="AZ127" s="245" t="str">
        <f>'Land Use Chart'!A29</f>
        <v>Multiplex Movie Theater</v>
      </c>
      <c r="BA127" s="354">
        <f>'Land Use Chart'!H29</f>
        <v>0</v>
      </c>
      <c r="BB127" s="263" t="str">
        <f>'Land Use Chart'!G29</f>
        <v>n/a</v>
      </c>
      <c r="BC127" s="263" t="s">
        <v>38</v>
      </c>
      <c r="BD127" s="263">
        <v>0</v>
      </c>
      <c r="BE127" s="263">
        <v>0</v>
      </c>
      <c r="BF127" s="263">
        <f>'Land Use Chart'!J29</f>
        <v>13.64</v>
      </c>
      <c r="BG127" s="245" t="str">
        <f>'Land Use Chart'!A29</f>
        <v>Multiplex Movie Theater</v>
      </c>
      <c r="BH127" s="253" t="str">
        <f>'Land Use Chart'!C29</f>
        <v>Screens</v>
      </c>
      <c r="BI127" s="355">
        <f>'Land Use Chart'!I29</f>
        <v>0</v>
      </c>
      <c r="BL127" s="245" t="str">
        <f>'Land Use Chart'!A29</f>
        <v>Multiplex Movie Theater</v>
      </c>
      <c r="BM127" s="354">
        <f>'Land Use Chart'!H29</f>
        <v>0</v>
      </c>
      <c r="BN127" s="263" t="str">
        <f>'Land Use Chart'!F29</f>
        <v>n/a</v>
      </c>
      <c r="BO127" s="263" t="s">
        <v>38</v>
      </c>
      <c r="BP127" s="263">
        <v>0</v>
      </c>
      <c r="BQ127" s="263">
        <v>0</v>
      </c>
    </row>
    <row r="128" spans="23:69" ht="24.75" customHeight="1" hidden="1">
      <c r="W128" s="218">
        <v>24</v>
      </c>
      <c r="X128" s="245"/>
      <c r="Y128" s="253"/>
      <c r="Z128" s="356"/>
      <c r="AA128" s="356"/>
      <c r="AB128" s="358"/>
      <c r="AY128" s="218">
        <v>29</v>
      </c>
      <c r="AZ128" s="245" t="str">
        <f>'Land Use Chart'!A30</f>
        <v>Racquet / Tennis Club</v>
      </c>
      <c r="BA128" s="354">
        <f>'Land Use Chart'!H30</f>
        <v>0</v>
      </c>
      <c r="BB128" s="263" t="str">
        <f>'Land Use Chart'!G30</f>
        <v>n/a</v>
      </c>
      <c r="BC128" s="263" t="s">
        <v>38</v>
      </c>
      <c r="BD128" s="263">
        <v>0</v>
      </c>
      <c r="BE128" s="263">
        <v>0</v>
      </c>
      <c r="BF128" s="263">
        <f>'Land Use Chart'!J30</f>
        <v>3.35</v>
      </c>
      <c r="BG128" s="245" t="str">
        <f>'Land Use Chart'!A30</f>
        <v>Racquet / Tennis Club</v>
      </c>
      <c r="BH128" s="253" t="str">
        <f>'Land Use Chart'!C30</f>
        <v>Court</v>
      </c>
      <c r="BI128" s="355">
        <f>'Land Use Chart'!I30</f>
        <v>1.31</v>
      </c>
      <c r="BL128" s="245" t="str">
        <f>'Land Use Chart'!A30</f>
        <v>Racquet / Tennis Club</v>
      </c>
      <c r="BM128" s="354">
        <f>'Land Use Chart'!H30</f>
        <v>0</v>
      </c>
      <c r="BN128" s="263" t="str">
        <f>'Land Use Chart'!F30</f>
        <v>T = 2.01(X) - 7.55</v>
      </c>
      <c r="BO128" s="263" t="s">
        <v>242</v>
      </c>
      <c r="BP128" s="263">
        <v>2.01</v>
      </c>
      <c r="BQ128" s="263">
        <v>-7.55</v>
      </c>
    </row>
    <row r="129" spans="23:69" ht="24.75" customHeight="1" hidden="1">
      <c r="W129" s="218">
        <v>25</v>
      </c>
      <c r="X129" s="245"/>
      <c r="Y129" s="253"/>
      <c r="Z129" s="356"/>
      <c r="AA129" s="356"/>
      <c r="AB129" s="358"/>
      <c r="AY129" s="218">
        <v>30</v>
      </c>
      <c r="AZ129" s="254" t="str">
        <f>'Land Use Chart'!A31</f>
        <v>INSTITUTIONAL</v>
      </c>
      <c r="BA129" s="354"/>
      <c r="BB129" s="263"/>
      <c r="BC129" s="263"/>
      <c r="BD129" s="263"/>
      <c r="BE129" s="263"/>
      <c r="BF129" s="263"/>
      <c r="BG129" s="245" t="str">
        <f>'Land Use Chart'!A31</f>
        <v>INSTITUTIONAL</v>
      </c>
      <c r="BH129" s="253">
        <f>'Land Use Chart'!C31</f>
        <v>0</v>
      </c>
      <c r="BI129" s="355">
        <f>'Land Use Chart'!I31</f>
        <v>0</v>
      </c>
      <c r="BL129" s="254" t="str">
        <f>'Land Use Chart'!A31</f>
        <v>INSTITUTIONAL</v>
      </c>
      <c r="BM129" s="354">
        <f>'Land Use Chart'!H31</f>
        <v>0</v>
      </c>
      <c r="BN129" s="263">
        <f>'Land Use Chart'!F31</f>
        <v>0</v>
      </c>
      <c r="BO129" s="263"/>
      <c r="BP129" s="263"/>
      <c r="BQ129" s="263"/>
    </row>
    <row r="130" spans="23:69" ht="24.75" customHeight="1" hidden="1">
      <c r="W130" s="218">
        <v>26</v>
      </c>
      <c r="X130" s="245"/>
      <c r="Y130" s="253"/>
      <c r="Z130" s="356"/>
      <c r="AA130" s="356"/>
      <c r="AB130" s="358"/>
      <c r="AY130" s="218">
        <v>31</v>
      </c>
      <c r="AZ130" s="245" t="str">
        <f>'Land Use Chart'!A32</f>
        <v>Church</v>
      </c>
      <c r="BA130" s="354">
        <f>'Land Use Chart'!H32</f>
        <v>0</v>
      </c>
      <c r="BB130" s="263" t="str">
        <f>'Land Use Chart'!G32</f>
        <v>T = 0.34(X) + 5.24</v>
      </c>
      <c r="BC130" s="263" t="s">
        <v>242</v>
      </c>
      <c r="BD130" s="263">
        <v>0.34</v>
      </c>
      <c r="BE130" s="263">
        <v>5.24</v>
      </c>
      <c r="BF130" s="263">
        <f>'Land Use Chart'!J32</f>
        <v>0.55</v>
      </c>
      <c r="BG130" s="245" t="str">
        <f>'Land Use Chart'!A32</f>
        <v>Church</v>
      </c>
      <c r="BH130" s="253" t="str">
        <f>'Land Use Chart'!C32</f>
        <v>1,000 SF GFA</v>
      </c>
      <c r="BI130" s="355">
        <f>'Land Use Chart'!I32</f>
        <v>0.56</v>
      </c>
      <c r="BL130" s="245" t="str">
        <f>'Land Use Chart'!A32</f>
        <v>Church</v>
      </c>
      <c r="BM130" s="354">
        <f>'Land Use Chart'!H32</f>
        <v>0</v>
      </c>
      <c r="BN130" s="263" t="str">
        <f>'Land Use Chart'!F32</f>
        <v>n/a</v>
      </c>
      <c r="BO130" s="263" t="s">
        <v>38</v>
      </c>
      <c r="BP130" s="263">
        <v>0</v>
      </c>
      <c r="BQ130" s="263">
        <v>0</v>
      </c>
    </row>
    <row r="131" spans="23:69" ht="24.75" customHeight="1" hidden="1">
      <c r="W131" s="218">
        <v>27</v>
      </c>
      <c r="X131" s="245"/>
      <c r="Y131" s="253"/>
      <c r="Z131" s="356"/>
      <c r="AA131" s="356"/>
      <c r="AB131" s="358"/>
      <c r="AY131" s="218">
        <v>32</v>
      </c>
      <c r="AZ131" s="245" t="str">
        <f>'Land Use Chart'!A33</f>
        <v>Day Care Center</v>
      </c>
      <c r="BA131" s="354">
        <f>'Land Use Chart'!H33</f>
        <v>0.44</v>
      </c>
      <c r="BB131" s="263" t="str">
        <f>'Land Use Chart'!G33</f>
        <v>n/a</v>
      </c>
      <c r="BC131" s="263" t="s">
        <v>38</v>
      </c>
      <c r="BD131" s="263">
        <v>0</v>
      </c>
      <c r="BE131" s="263">
        <v>0</v>
      </c>
      <c r="BF131" s="263">
        <f>'Land Use Chart'!J33</f>
        <v>6.91</v>
      </c>
      <c r="BG131" s="245" t="str">
        <f>'Land Use Chart'!A33</f>
        <v>Day Care Center</v>
      </c>
      <c r="BH131" s="253" t="str">
        <f>'Land Use Chart'!C33</f>
        <v>1,000 SF GFA</v>
      </c>
      <c r="BI131" s="355">
        <f>'Land Use Chart'!I33</f>
        <v>6.82</v>
      </c>
      <c r="BL131" s="245" t="str">
        <f>'Land Use Chart'!A33</f>
        <v>Day Care Center</v>
      </c>
      <c r="BM131" s="354">
        <f>'Land Use Chart'!H33</f>
        <v>0.44</v>
      </c>
      <c r="BN131" s="263" t="str">
        <f>'Land Use Chart'!F33</f>
        <v>n/a</v>
      </c>
      <c r="BO131" s="263" t="s">
        <v>38</v>
      </c>
      <c r="BP131" s="263">
        <v>0</v>
      </c>
      <c r="BQ131" s="263">
        <v>0</v>
      </c>
    </row>
    <row r="132" spans="23:69" ht="24.75" customHeight="1" hidden="1">
      <c r="W132" s="218">
        <v>28</v>
      </c>
      <c r="X132" s="254"/>
      <c r="Y132" s="253"/>
      <c r="Z132" s="356"/>
      <c r="AA132" s="356"/>
      <c r="AB132" s="358"/>
      <c r="AY132" s="218">
        <v>33</v>
      </c>
      <c r="AZ132" s="245" t="str">
        <f>'Land Use Chart'!A34</f>
        <v>Primary/Middle School (1-8)</v>
      </c>
      <c r="BA132" s="354">
        <f>'Land Use Chart'!H34</f>
        <v>0</v>
      </c>
      <c r="BB132" s="263" t="str">
        <f>'Land Use Chart'!G34</f>
        <v>n/a</v>
      </c>
      <c r="BC132" s="263" t="s">
        <v>38</v>
      </c>
      <c r="BD132" s="263">
        <v>0</v>
      </c>
      <c r="BE132" s="263">
        <v>0</v>
      </c>
      <c r="BF132" s="263">
        <f>'Land Use Chart'!J34</f>
        <v>0.16</v>
      </c>
      <c r="BG132" s="245" t="str">
        <f>'Land Use Chart'!A34</f>
        <v>Primary/Middle School (1-8)</v>
      </c>
      <c r="BH132" s="253" t="str">
        <f>'Land Use Chart'!C34</f>
        <v>Students</v>
      </c>
      <c r="BI132" s="355">
        <f>'Land Use Chart'!I34</f>
        <v>0.54</v>
      </c>
      <c r="BL132" s="245" t="str">
        <f>'Land Use Chart'!A34</f>
        <v>Primary/Middle School (1-8)</v>
      </c>
      <c r="BM132" s="354">
        <f>'Land Use Chart'!H34</f>
        <v>0</v>
      </c>
      <c r="BN132" s="263" t="str">
        <f>'Land Use Chart'!F34</f>
        <v>n.a</v>
      </c>
      <c r="BO132" s="263" t="s">
        <v>38</v>
      </c>
      <c r="BP132" s="263">
        <v>0</v>
      </c>
      <c r="BQ132" s="263">
        <v>0</v>
      </c>
    </row>
    <row r="133" spans="23:69" ht="24.75" customHeight="1" hidden="1">
      <c r="W133" s="218">
        <v>29</v>
      </c>
      <c r="X133" s="245"/>
      <c r="Y133" s="253"/>
      <c r="Z133" s="356"/>
      <c r="AA133" s="356"/>
      <c r="AB133" s="358"/>
      <c r="AY133" s="218">
        <v>34</v>
      </c>
      <c r="AZ133" s="245" t="str">
        <f>'Land Use Chart'!A35</f>
        <v>High School (9-12)</v>
      </c>
      <c r="BA133" s="354">
        <f>'Land Use Chart'!H35</f>
        <v>0</v>
      </c>
      <c r="BB133" s="263" t="str">
        <f>'Land Use Chart'!G35</f>
        <v>n/a</v>
      </c>
      <c r="BC133" s="263" t="s">
        <v>38</v>
      </c>
      <c r="BD133" s="263">
        <v>0</v>
      </c>
      <c r="BE133" s="263">
        <v>0</v>
      </c>
      <c r="BF133" s="263">
        <f>'Land Use Chart'!J35</f>
        <v>0.13</v>
      </c>
      <c r="BG133" s="245" t="str">
        <f>'Land Use Chart'!A35</f>
        <v>High School (9-12)</v>
      </c>
      <c r="BH133" s="253" t="str">
        <f>'Land Use Chart'!C35</f>
        <v>Students</v>
      </c>
      <c r="BI133" s="355">
        <f>'Land Use Chart'!I35</f>
        <v>0.43</v>
      </c>
      <c r="BL133" s="245" t="str">
        <f>'Land Use Chart'!A35</f>
        <v>High School (9-12)</v>
      </c>
      <c r="BM133" s="354">
        <f>'Land Use Chart'!H35</f>
        <v>0</v>
      </c>
      <c r="BN133" s="263" t="str">
        <f>'Land Use Chart'!F35</f>
        <v>n/a</v>
      </c>
      <c r="BO133" s="263" t="s">
        <v>38</v>
      </c>
      <c r="BP133" s="263">
        <v>0</v>
      </c>
      <c r="BQ133" s="263">
        <v>0</v>
      </c>
    </row>
    <row r="134" spans="23:69" ht="24.75" customHeight="1" hidden="1">
      <c r="W134" s="218">
        <v>30</v>
      </c>
      <c r="X134" s="245"/>
      <c r="Y134" s="253"/>
      <c r="Z134" s="356"/>
      <c r="AA134" s="356"/>
      <c r="AB134" s="358"/>
      <c r="AY134" s="218">
        <v>35</v>
      </c>
      <c r="AZ134" s="245" t="str">
        <f>'Land Use Chart'!A36</f>
        <v>Jr / Community College</v>
      </c>
      <c r="BA134" s="354">
        <f>'Land Use Chart'!H36</f>
        <v>0</v>
      </c>
      <c r="BB134" s="263" t="str">
        <f>'Land Use Chart'!G36</f>
        <v>Ln(T) = 0.64 Ln(X) + 1.32</v>
      </c>
      <c r="BC134" s="263" t="s">
        <v>243</v>
      </c>
      <c r="BD134" s="263">
        <v>0.64</v>
      </c>
      <c r="BE134" s="263">
        <v>1.32</v>
      </c>
      <c r="BF134" s="263">
        <f>'Land Use Chart'!J36</f>
        <v>0.12</v>
      </c>
      <c r="BG134" s="245" t="str">
        <f>'Land Use Chart'!A36</f>
        <v>Jr / Community College</v>
      </c>
      <c r="BH134" s="253" t="str">
        <f>'Land Use Chart'!C36</f>
        <v>Students</v>
      </c>
      <c r="BI134" s="355">
        <f>'Land Use Chart'!I36</f>
        <v>0.12</v>
      </c>
      <c r="BL134" s="245" t="str">
        <f>'Land Use Chart'!A36</f>
        <v>Jr / Community College</v>
      </c>
      <c r="BM134" s="354">
        <f>'Land Use Chart'!H36</f>
        <v>0</v>
      </c>
      <c r="BN134" s="263" t="str">
        <f>'Land Use Chart'!F36</f>
        <v>Ln(T) = 0.70 Ln(X) + 0.74</v>
      </c>
      <c r="BO134" s="263" t="s">
        <v>243</v>
      </c>
      <c r="BP134" s="263">
        <v>0.7</v>
      </c>
      <c r="BQ134" s="263">
        <v>0.74</v>
      </c>
    </row>
    <row r="135" spans="23:69" ht="24.75" customHeight="1" hidden="1">
      <c r="W135" s="218">
        <v>31</v>
      </c>
      <c r="X135" s="245"/>
      <c r="Y135" s="253"/>
      <c r="Z135" s="356"/>
      <c r="AA135" s="356"/>
      <c r="AB135" s="358"/>
      <c r="AY135" s="218">
        <v>36</v>
      </c>
      <c r="AZ135" s="245" t="str">
        <f>'Land Use Chart'!A37</f>
        <v>University / College</v>
      </c>
      <c r="BA135" s="354">
        <f>'Land Use Chart'!H37</f>
        <v>0</v>
      </c>
      <c r="BB135" s="263" t="str">
        <f>'Land Use Chart'!G37</f>
        <v>Ln(T) = 0.73 Ln(X) + 0.84</v>
      </c>
      <c r="BC135" s="263" t="s">
        <v>242</v>
      </c>
      <c r="BD135" s="263">
        <v>0.73</v>
      </c>
      <c r="BE135" s="263">
        <v>0.84</v>
      </c>
      <c r="BF135" s="263">
        <f>'Land Use Chart'!J37</f>
        <v>0.17</v>
      </c>
      <c r="BG135" s="245" t="str">
        <f>'Land Use Chart'!A37</f>
        <v>University / College</v>
      </c>
      <c r="BH135" s="253" t="str">
        <f>'Land Use Chart'!C37</f>
        <v>Students</v>
      </c>
      <c r="BI135" s="355">
        <f>'Land Use Chart'!I37</f>
        <v>0.17</v>
      </c>
      <c r="BL135" s="245" t="str">
        <f>'Land Use Chart'!A37</f>
        <v>University / College</v>
      </c>
      <c r="BM135" s="354">
        <f>'Land Use Chart'!H37</f>
        <v>0</v>
      </c>
      <c r="BN135" s="263" t="str">
        <f>'Land Use Chart'!F37</f>
        <v>Ln(T) = 0.88 Ln(X) - 0.68</v>
      </c>
      <c r="BO135" s="263" t="s">
        <v>243</v>
      </c>
      <c r="BP135" s="263">
        <v>0.88</v>
      </c>
      <c r="BQ135" s="263">
        <v>-0.68</v>
      </c>
    </row>
    <row r="136" spans="23:69" ht="24.75" customHeight="1" hidden="1">
      <c r="W136" s="218">
        <v>32</v>
      </c>
      <c r="X136" s="245"/>
      <c r="Y136" s="253"/>
      <c r="Z136" s="356"/>
      <c r="AA136" s="356"/>
      <c r="AB136" s="358"/>
      <c r="AY136" s="218">
        <v>37</v>
      </c>
      <c r="AZ136" s="254" t="str">
        <f>'Land Use Chart'!A38</f>
        <v>MEDICAL</v>
      </c>
      <c r="BA136" s="354"/>
      <c r="BB136" s="263"/>
      <c r="BC136" s="263"/>
      <c r="BD136" s="263"/>
      <c r="BE136" s="263"/>
      <c r="BF136" s="263">
        <f>'Land Use Chart'!J38</f>
        <v>0</v>
      </c>
      <c r="BG136" s="245" t="str">
        <f>'Land Use Chart'!A38</f>
        <v>MEDICAL</v>
      </c>
      <c r="BH136" s="253">
        <f>'Land Use Chart'!C38</f>
        <v>0</v>
      </c>
      <c r="BI136" s="355">
        <f>'Land Use Chart'!I38</f>
        <v>0</v>
      </c>
      <c r="BL136" s="254" t="str">
        <f>'Land Use Chart'!A38</f>
        <v>MEDICAL</v>
      </c>
      <c r="BM136" s="354">
        <f>'Land Use Chart'!H38</f>
        <v>0</v>
      </c>
      <c r="BN136" s="263">
        <f>'Land Use Chart'!F38</f>
        <v>0</v>
      </c>
      <c r="BO136" s="263"/>
      <c r="BP136" s="263"/>
      <c r="BQ136" s="263"/>
    </row>
    <row r="137" spans="23:69" ht="24.75" customHeight="1" hidden="1">
      <c r="W137" s="218">
        <v>33</v>
      </c>
      <c r="X137" s="245"/>
      <c r="Y137" s="253"/>
      <c r="Z137" s="356"/>
      <c r="AA137" s="356"/>
      <c r="AB137" s="358"/>
      <c r="AY137" s="218">
        <v>38</v>
      </c>
      <c r="AZ137" s="245" t="str">
        <f>'Land Use Chart'!A39</f>
        <v>Clinic</v>
      </c>
      <c r="BA137" s="354">
        <f>'Land Use Chart'!H39</f>
        <v>0</v>
      </c>
      <c r="BB137" s="263" t="str">
        <f>'Land Use Chart'!G39</f>
        <v>n/a</v>
      </c>
      <c r="BC137" s="263" t="s">
        <v>38</v>
      </c>
      <c r="BD137" s="263">
        <v>0</v>
      </c>
      <c r="BE137" s="263">
        <v>0</v>
      </c>
      <c r="BF137" s="263">
        <f>'Land Use Chart'!J39</f>
        <v>5.18</v>
      </c>
      <c r="BG137" s="245" t="str">
        <f>'Land Use Chart'!A39</f>
        <v>Clinic</v>
      </c>
      <c r="BH137" s="253" t="str">
        <f>'Land Use Chart'!C39</f>
        <v>1,000 SF GFA</v>
      </c>
      <c r="BI137" s="355">
        <f>'Land Use Chart'!I39</f>
        <v>0</v>
      </c>
      <c r="BL137" s="245" t="str">
        <f>'Land Use Chart'!A39</f>
        <v>Clinic</v>
      </c>
      <c r="BM137" s="354">
        <f>'Land Use Chart'!H39</f>
        <v>0</v>
      </c>
      <c r="BN137" s="263" t="str">
        <f>'Land Use Chart'!F39</f>
        <v>n/a</v>
      </c>
      <c r="BO137" s="263" t="s">
        <v>38</v>
      </c>
      <c r="BP137" s="263">
        <v>0</v>
      </c>
      <c r="BQ137" s="263">
        <v>0</v>
      </c>
    </row>
    <row r="138" spans="23:69" ht="24.75" customHeight="1" hidden="1">
      <c r="W138" s="218">
        <v>34</v>
      </c>
      <c r="X138" s="245"/>
      <c r="Y138" s="253"/>
      <c r="Z138" s="356"/>
      <c r="AA138" s="356"/>
      <c r="AB138" s="358"/>
      <c r="AY138" s="218">
        <v>39</v>
      </c>
      <c r="AZ138" s="245" t="str">
        <f>'Land Use Chart'!A40</f>
        <v>Hospital</v>
      </c>
      <c r="BA138" s="354">
        <f>'Land Use Chart'!H40</f>
        <v>0</v>
      </c>
      <c r="BB138" s="263" t="str">
        <f>'Land Use Chart'!G40</f>
        <v>n/a</v>
      </c>
      <c r="BC138" s="263" t="s">
        <v>38</v>
      </c>
      <c r="BD138" s="263">
        <v>0</v>
      </c>
      <c r="BE138" s="263">
        <v>0</v>
      </c>
      <c r="BF138" s="263">
        <f>'Land Use Chart'!J40</f>
        <v>1.42</v>
      </c>
      <c r="BG138" s="245" t="str">
        <f>'Land Use Chart'!A40</f>
        <v>Hospital</v>
      </c>
      <c r="BH138" s="253" t="str">
        <f>'Land Use Chart'!C40</f>
        <v>Beds</v>
      </c>
      <c r="BI138" s="355">
        <f>'Land Use Chart'!I40</f>
        <v>1.32</v>
      </c>
      <c r="BL138" s="245" t="str">
        <f>'Land Use Chart'!A40</f>
        <v>Hospital</v>
      </c>
      <c r="BM138" s="354">
        <f>'Land Use Chart'!H40</f>
        <v>0</v>
      </c>
      <c r="BN138" s="263" t="str">
        <f>'Land Use Chart'!F40</f>
        <v>n/a</v>
      </c>
      <c r="BO138" s="263" t="s">
        <v>38</v>
      </c>
      <c r="BP138" s="263">
        <v>0</v>
      </c>
      <c r="BQ138" s="263">
        <v>0</v>
      </c>
    </row>
    <row r="139" spans="23:69" ht="24.75" customHeight="1" hidden="1">
      <c r="W139" s="218">
        <v>35</v>
      </c>
      <c r="X139" s="254"/>
      <c r="Y139" s="253"/>
      <c r="Z139" s="356"/>
      <c r="AA139" s="356"/>
      <c r="AB139" s="358"/>
      <c r="AY139" s="218">
        <v>40</v>
      </c>
      <c r="AZ139" s="245" t="str">
        <f>'Land Use Chart'!A41</f>
        <v>Nursing Home</v>
      </c>
      <c r="BA139" s="354">
        <f>'Land Use Chart'!H41</f>
        <v>0</v>
      </c>
      <c r="BB139" s="263" t="str">
        <f>'Land Use Chart'!G41</f>
        <v>n/a</v>
      </c>
      <c r="BC139" s="263" t="s">
        <v>38</v>
      </c>
      <c r="BD139" s="263">
        <v>0</v>
      </c>
      <c r="BE139" s="263">
        <v>0</v>
      </c>
      <c r="BF139" s="263">
        <f>'Land Use Chart'!J41</f>
        <v>0.22</v>
      </c>
      <c r="BG139" s="245" t="str">
        <f>'Land Use Chart'!A41</f>
        <v>Nursing Home</v>
      </c>
      <c r="BH139" s="253" t="str">
        <f>'Land Use Chart'!C41</f>
        <v>Beds</v>
      </c>
      <c r="BI139" s="355">
        <f>'Land Use Chart'!I41</f>
        <v>0.17</v>
      </c>
      <c r="BL139" s="245" t="str">
        <f>'Land Use Chart'!A41</f>
        <v>Nursing Home</v>
      </c>
      <c r="BM139" s="354">
        <f>'Land Use Chart'!H41</f>
        <v>0</v>
      </c>
      <c r="BN139" s="263" t="str">
        <f>'Land Use Chart'!F41</f>
        <v>n/a</v>
      </c>
      <c r="BO139" s="263" t="s">
        <v>38</v>
      </c>
      <c r="BP139" s="263">
        <v>0</v>
      </c>
      <c r="BQ139" s="263">
        <v>0</v>
      </c>
    </row>
    <row r="140" spans="23:69" ht="24.75" customHeight="1" hidden="1">
      <c r="W140" s="218">
        <v>36</v>
      </c>
      <c r="X140" s="245"/>
      <c r="Y140" s="253"/>
      <c r="Z140" s="356"/>
      <c r="AA140" s="356"/>
      <c r="AB140" s="358"/>
      <c r="AY140" s="218">
        <v>41</v>
      </c>
      <c r="AZ140" s="245" t="str">
        <f>'Land Use Chart'!A42</f>
        <v>Animal Hospital/Veterinary Clinic</v>
      </c>
      <c r="BA140" s="354">
        <f>'Land Use Chart'!H42</f>
        <v>0.3</v>
      </c>
      <c r="BB140" s="263" t="str">
        <f>'Land Use Chart'!G42</f>
        <v>n/a</v>
      </c>
      <c r="BC140" s="263" t="s">
        <v>38</v>
      </c>
      <c r="BD140" s="263">
        <v>0</v>
      </c>
      <c r="BE140" s="263">
        <v>0</v>
      </c>
      <c r="BF140" s="263">
        <f>'Land Use Chart'!J42</f>
        <v>3.3</v>
      </c>
      <c r="BG140" s="245" t="str">
        <f>'Land Use Chart'!A42</f>
        <v>Animal Hospital/Veterinary Clinic</v>
      </c>
      <c r="BH140" s="253" t="str">
        <f>'Land Use Chart'!C42</f>
        <v>1,000 SF GFA</v>
      </c>
      <c r="BI140" s="355">
        <f>'Land Use Chart'!I42</f>
        <v>2.86</v>
      </c>
      <c r="BL140" s="245" t="str">
        <f>'Land Use Chart'!A42</f>
        <v>Animal Hospital/Veterinary Clinic</v>
      </c>
      <c r="BM140" s="354">
        <f>'Land Use Chart'!H42</f>
        <v>0.3</v>
      </c>
      <c r="BN140" s="263" t="str">
        <f>'Land Use Chart'!F42</f>
        <v>n/a</v>
      </c>
      <c r="BO140" s="263" t="s">
        <v>38</v>
      </c>
      <c r="BP140" s="263">
        <v>0</v>
      </c>
      <c r="BQ140" s="263">
        <v>0</v>
      </c>
    </row>
    <row r="141" spans="23:69" ht="24.75" customHeight="1" hidden="1">
      <c r="W141" s="218">
        <v>37</v>
      </c>
      <c r="X141" s="245"/>
      <c r="Y141" s="253"/>
      <c r="Z141" s="356"/>
      <c r="AA141" s="356"/>
      <c r="AB141" s="358"/>
      <c r="AY141" s="218">
        <v>42</v>
      </c>
      <c r="AZ141" s="254" t="str">
        <f>'Land Use Chart'!A43</f>
        <v>OFFICE</v>
      </c>
      <c r="BA141" s="354"/>
      <c r="BB141" s="263"/>
      <c r="BC141" s="263"/>
      <c r="BD141" s="263"/>
      <c r="BE141" s="263"/>
      <c r="BF141" s="263"/>
      <c r="BG141" s="245" t="str">
        <f>'Land Use Chart'!A43</f>
        <v>OFFICE</v>
      </c>
      <c r="BH141" s="253">
        <f>'Land Use Chart'!C43</f>
        <v>0</v>
      </c>
      <c r="BI141" s="355">
        <f>'Land Use Chart'!I43</f>
        <v>0</v>
      </c>
      <c r="BL141" s="254" t="str">
        <f>'Land Use Chart'!A43</f>
        <v>OFFICE</v>
      </c>
      <c r="BM141" s="354">
        <f>'Land Use Chart'!H43</f>
        <v>0</v>
      </c>
      <c r="BN141" s="263">
        <f>'Land Use Chart'!F43</f>
        <v>0</v>
      </c>
      <c r="BO141" s="263"/>
      <c r="BP141" s="263"/>
      <c r="BQ141" s="263"/>
    </row>
    <row r="142" spans="23:69" ht="24.75" customHeight="1" hidden="1">
      <c r="W142" s="218">
        <v>38</v>
      </c>
      <c r="X142" s="245"/>
      <c r="Y142" s="253"/>
      <c r="Z142" s="356"/>
      <c r="AA142" s="356"/>
      <c r="AB142" s="358"/>
      <c r="AY142" s="218">
        <v>43</v>
      </c>
      <c r="AZ142" s="245" t="str">
        <f>'Land Use Chart'!A44</f>
        <v>Corporate Headquarters Building</v>
      </c>
      <c r="BA142" s="354">
        <f>'Land Use Chart'!H44</f>
        <v>0</v>
      </c>
      <c r="BB142" s="263" t="str">
        <f>'Land Use Chart'!G44</f>
        <v>Ln(T) = 0.88 Ln(X) + 0.98</v>
      </c>
      <c r="BC142" s="263" t="s">
        <v>243</v>
      </c>
      <c r="BD142" s="263">
        <v>0.88</v>
      </c>
      <c r="BE142" s="263">
        <v>0.98</v>
      </c>
      <c r="BF142" s="263">
        <f>'Land Use Chart'!J44</f>
        <v>1.41</v>
      </c>
      <c r="BG142" s="245" t="str">
        <f>'Land Use Chart'!A44</f>
        <v>Corporate Headquarters Building</v>
      </c>
      <c r="BH142" s="253" t="str">
        <f>'Land Use Chart'!C44</f>
        <v>1,000 SF GFA</v>
      </c>
      <c r="BI142" s="355">
        <f>'Land Use Chart'!I44</f>
        <v>1.52</v>
      </c>
      <c r="BL142" s="245" t="str">
        <f>'Land Use Chart'!A44</f>
        <v>Corporate Headquarters Building</v>
      </c>
      <c r="BM142" s="354">
        <f>'Land Use Chart'!H44</f>
        <v>0</v>
      </c>
      <c r="BN142" s="263" t="str">
        <f>'Land Use Chart'!F44</f>
        <v>Ln(T) = 0.96 Ln(X) + 0.60</v>
      </c>
      <c r="BO142" s="263" t="s">
        <v>243</v>
      </c>
      <c r="BP142" s="263">
        <v>0.96</v>
      </c>
      <c r="BQ142" s="263">
        <v>0.6</v>
      </c>
    </row>
    <row r="143" spans="23:69" ht="24.75" customHeight="1" hidden="1">
      <c r="W143" s="218">
        <v>39</v>
      </c>
      <c r="X143" s="245"/>
      <c r="Y143" s="253"/>
      <c r="Z143" s="356"/>
      <c r="AA143" s="356"/>
      <c r="AB143" s="358"/>
      <c r="AY143" s="218">
        <v>44</v>
      </c>
      <c r="AZ143" s="245" t="str">
        <f>'Land Use Chart'!A45</f>
        <v>General Office Building</v>
      </c>
      <c r="BA143" s="354">
        <f>'Land Use Chart'!H45</f>
        <v>0</v>
      </c>
      <c r="BB143" s="263" t="str">
        <f>'Land Use Chart'!G45</f>
        <v>T = 1.12(X) + 78.45</v>
      </c>
      <c r="BC143" s="263" t="s">
        <v>242</v>
      </c>
      <c r="BD143" s="263">
        <v>1.12</v>
      </c>
      <c r="BE143" s="263">
        <v>78.45</v>
      </c>
      <c r="BF143" s="263">
        <f>'Land Use Chart'!J45</f>
        <v>1.49</v>
      </c>
      <c r="BG143" s="245" t="str">
        <f>'Land Use Chart'!A45</f>
        <v>General Office Building</v>
      </c>
      <c r="BH143" s="253" t="str">
        <f>'Land Use Chart'!C45</f>
        <v>1,000 SF GFA</v>
      </c>
      <c r="BI143" s="355">
        <f>'Land Use Chart'!I45</f>
        <v>1.56</v>
      </c>
      <c r="BL143" s="245" t="str">
        <f>'Land Use Chart'!A45</f>
        <v>General Office Building</v>
      </c>
      <c r="BM143" s="354">
        <f>'Land Use Chart'!H45</f>
        <v>0</v>
      </c>
      <c r="BN143" s="263" t="str">
        <f>'Land Use Chart'!F45</f>
        <v>Ln(T) = 0.80 Ln(X) + 1.57</v>
      </c>
      <c r="BO143" s="263" t="s">
        <v>243</v>
      </c>
      <c r="BP143" s="263">
        <v>0.8</v>
      </c>
      <c r="BQ143" s="263">
        <v>1.57</v>
      </c>
    </row>
    <row r="144" spans="23:69" ht="24.75" customHeight="1" hidden="1">
      <c r="W144" s="218">
        <v>40</v>
      </c>
      <c r="X144" s="254"/>
      <c r="Y144" s="253"/>
      <c r="Z144" s="356"/>
      <c r="AA144" s="356"/>
      <c r="AB144" s="358"/>
      <c r="AY144" s="218">
        <v>45</v>
      </c>
      <c r="AZ144" s="245" t="str">
        <f>'Land Use Chart'!A46</f>
        <v>Medical/Dental Office</v>
      </c>
      <c r="BA144" s="354">
        <f>'Land Use Chart'!H46</f>
        <v>0</v>
      </c>
      <c r="BB144" s="263" t="str">
        <f>'Land Use Chart'!G46</f>
        <v>Ln(T) = 0.90 Ln(X) + 1.53</v>
      </c>
      <c r="BC144" s="263" t="s">
        <v>243</v>
      </c>
      <c r="BD144" s="263">
        <v>0.9</v>
      </c>
      <c r="BE144" s="263">
        <v>1.53</v>
      </c>
      <c r="BF144" s="263">
        <f>'Land Use Chart'!J46</f>
        <v>3.57</v>
      </c>
      <c r="BG144" s="245" t="str">
        <f>'Land Use Chart'!A46</f>
        <v>Medical/Dental Office</v>
      </c>
      <c r="BH144" s="253" t="str">
        <f>'Land Use Chart'!C46</f>
        <v>1,000 SF GFA</v>
      </c>
      <c r="BI144" s="355">
        <f>'Land Use Chart'!I46</f>
        <v>2.39</v>
      </c>
      <c r="BL144" s="245" t="str">
        <f>'Land Use Chart'!A46</f>
        <v>Medical/Dental Office</v>
      </c>
      <c r="BM144" s="354">
        <f>'Land Use Chart'!H46</f>
        <v>0</v>
      </c>
      <c r="BN144" s="263" t="str">
        <f>'Land Use Chart'!F46</f>
        <v>n/a</v>
      </c>
      <c r="BO144" s="263" t="s">
        <v>38</v>
      </c>
      <c r="BP144" s="263">
        <v>0</v>
      </c>
      <c r="BQ144" s="263">
        <v>0</v>
      </c>
    </row>
    <row r="145" spans="23:69" ht="24.75" customHeight="1" hidden="1">
      <c r="W145" s="218">
        <v>41</v>
      </c>
      <c r="X145" s="245"/>
      <c r="Y145" s="253"/>
      <c r="Z145" s="356"/>
      <c r="AA145" s="356"/>
      <c r="AB145" s="358"/>
      <c r="AY145" s="218">
        <v>46</v>
      </c>
      <c r="AZ145" s="245" t="str">
        <f>'Land Use Chart'!A47</f>
        <v>Single Tenant Office Building</v>
      </c>
      <c r="BA145" s="354">
        <f>'Land Use Chart'!H47</f>
        <v>0</v>
      </c>
      <c r="BB145" s="263" t="str">
        <f>'Land Use Chart'!G47</f>
        <v>T = 1.52(X) + 34.60</v>
      </c>
      <c r="BC145" s="263" t="s">
        <v>242</v>
      </c>
      <c r="BD145" s="263">
        <v>1.52</v>
      </c>
      <c r="BE145" s="263">
        <v>34.6</v>
      </c>
      <c r="BF145" s="263">
        <f>'Land Use Chart'!J47</f>
        <v>1.74</v>
      </c>
      <c r="BG145" s="245" t="str">
        <f>'Land Use Chart'!A47</f>
        <v>Single Tenant Office Building</v>
      </c>
      <c r="BH145" s="253" t="str">
        <f>'Land Use Chart'!C47</f>
        <v>1,000 SF GFA</v>
      </c>
      <c r="BI145" s="355">
        <f>'Land Use Chart'!I47</f>
        <v>1.8</v>
      </c>
      <c r="BL145" s="245" t="str">
        <f>'Land Use Chart'!A47</f>
        <v>Single Tenant Office Building</v>
      </c>
      <c r="BM145" s="354">
        <f>'Land Use Chart'!H47</f>
        <v>0</v>
      </c>
      <c r="BN145" s="263" t="str">
        <f>'Land Use Chart'!F47</f>
        <v>T = 1.67(X) + 21.93</v>
      </c>
      <c r="BO145" s="263" t="s">
        <v>242</v>
      </c>
      <c r="BP145" s="263">
        <v>1.67</v>
      </c>
      <c r="BQ145" s="263">
        <v>21.93</v>
      </c>
    </row>
    <row r="146" spans="23:69" ht="24.75" customHeight="1" hidden="1">
      <c r="W146" s="218">
        <v>42</v>
      </c>
      <c r="X146" s="245"/>
      <c r="Y146" s="253"/>
      <c r="Z146" s="356"/>
      <c r="AA146" s="356"/>
      <c r="AB146" s="358"/>
      <c r="AY146" s="218">
        <v>47</v>
      </c>
      <c r="AZ146" s="245" t="str">
        <f>'Land Use Chart'!A48</f>
        <v>Office/Business Park</v>
      </c>
      <c r="BA146" s="354">
        <f>'Land Use Chart'!H48</f>
        <v>0</v>
      </c>
      <c r="BB146" s="263" t="str">
        <f>'Land Use Chart'!G48</f>
        <v>T = 1.22(X) + 95.83</v>
      </c>
      <c r="BC146" s="263" t="s">
        <v>242</v>
      </c>
      <c r="BD146" s="263">
        <v>1.22</v>
      </c>
      <c r="BE146" s="263">
        <v>95.83</v>
      </c>
      <c r="BF146" s="263">
        <f>'Land Use Chart'!J48</f>
        <v>1.48</v>
      </c>
      <c r="BG146" s="245" t="str">
        <f>'Land Use Chart'!A48</f>
        <v>Office/Business Park</v>
      </c>
      <c r="BH146" s="253" t="str">
        <f>'Land Use Chart'!C48</f>
        <v>1,000 SF GFA</v>
      </c>
      <c r="BI146" s="355">
        <f>'Land Use Chart'!I48</f>
        <v>1.71</v>
      </c>
      <c r="BL146" s="245" t="str">
        <f>'Land Use Chart'!A48</f>
        <v>Office/Business Park</v>
      </c>
      <c r="BM146" s="354">
        <f>'Land Use Chart'!H48</f>
        <v>0</v>
      </c>
      <c r="BN146" s="263" t="str">
        <f>'Land Use Chart'!F48</f>
        <v>Ln(T) = 1.37 Ln(X) +124.36</v>
      </c>
      <c r="BO146" s="263" t="s">
        <v>243</v>
      </c>
      <c r="BP146" s="263">
        <v>1.37</v>
      </c>
      <c r="BQ146" s="263">
        <v>124.36</v>
      </c>
    </row>
    <row r="147" spans="23:69" ht="24.75" customHeight="1" hidden="1">
      <c r="W147" s="218">
        <v>43</v>
      </c>
      <c r="X147" s="245"/>
      <c r="Y147" s="253"/>
      <c r="Z147" s="356"/>
      <c r="AA147" s="356"/>
      <c r="AB147" s="358"/>
      <c r="AY147" s="218">
        <v>48</v>
      </c>
      <c r="AZ147" s="254" t="str">
        <f>'Land Use Chart'!A49</f>
        <v>COMMERCIAL</v>
      </c>
      <c r="BA147" s="354">
        <f>'Land Use Chart'!H49</f>
        <v>0</v>
      </c>
      <c r="BB147" s="263"/>
      <c r="BC147" s="263"/>
      <c r="BD147" s="263"/>
      <c r="BE147" s="263"/>
      <c r="BF147" s="263"/>
      <c r="BG147" s="245" t="str">
        <f>'Land Use Chart'!A49</f>
        <v>COMMERCIAL</v>
      </c>
      <c r="BH147" s="253">
        <f>'Land Use Chart'!C49</f>
        <v>0</v>
      </c>
      <c r="BI147" s="355">
        <f>'Land Use Chart'!I49</f>
        <v>0</v>
      </c>
      <c r="BL147" s="254" t="str">
        <f>'Land Use Chart'!A49</f>
        <v>COMMERCIAL</v>
      </c>
      <c r="BM147" s="354">
        <f>'Land Use Chart'!H49</f>
        <v>0</v>
      </c>
      <c r="BN147" s="263">
        <f>'Land Use Chart'!F49</f>
        <v>0</v>
      </c>
      <c r="BO147" s="263"/>
      <c r="BP147" s="263"/>
      <c r="BQ147" s="263"/>
    </row>
    <row r="148" spans="23:69" ht="24.75" customHeight="1" hidden="1">
      <c r="W148" s="218">
        <v>44</v>
      </c>
      <c r="X148" s="245"/>
      <c r="Y148" s="253"/>
      <c r="Z148" s="356"/>
      <c r="AA148" s="356"/>
      <c r="AB148" s="358"/>
      <c r="AY148" s="218">
        <v>49</v>
      </c>
      <c r="AZ148" s="254" t="str">
        <f>'Land Use Chart'!A50</f>
        <v>     AUTOMOBILE RELATED</v>
      </c>
      <c r="BA148" s="354">
        <f>'Land Use Chart'!H50</f>
        <v>0</v>
      </c>
      <c r="BB148" s="263"/>
      <c r="BC148" s="263"/>
      <c r="BD148" s="263"/>
      <c r="BE148" s="263"/>
      <c r="BF148" s="263"/>
      <c r="BG148" s="245" t="str">
        <f>'Land Use Chart'!A50</f>
        <v>     AUTOMOBILE RELATED</v>
      </c>
      <c r="BH148" s="253">
        <f>'Land Use Chart'!C50</f>
        <v>0</v>
      </c>
      <c r="BI148" s="355">
        <f>'Land Use Chart'!I50</f>
        <v>0</v>
      </c>
      <c r="BL148" s="254" t="str">
        <f>'Land Use Chart'!A50</f>
        <v>     AUTOMOBILE RELATED</v>
      </c>
      <c r="BM148" s="354">
        <f>'Land Use Chart'!H50</f>
        <v>0</v>
      </c>
      <c r="BN148" s="263">
        <f>'Land Use Chart'!F50</f>
        <v>0</v>
      </c>
      <c r="BO148" s="263"/>
      <c r="BP148" s="263"/>
      <c r="BQ148" s="263"/>
    </row>
    <row r="149" spans="23:69" ht="24.75" customHeight="1" hidden="1">
      <c r="W149" s="218">
        <v>45</v>
      </c>
      <c r="X149" s="245"/>
      <c r="Y149" s="253"/>
      <c r="Z149" s="356"/>
      <c r="AA149" s="356"/>
      <c r="AB149" s="358"/>
      <c r="AY149" s="218">
        <v>50</v>
      </c>
      <c r="AZ149" s="245" t="str">
        <f>'Land Use Chart'!A51</f>
        <v>Automobile Care Center</v>
      </c>
      <c r="BA149" s="354">
        <f>'Land Use Chart'!H51</f>
        <v>0.4</v>
      </c>
      <c r="BB149" s="263" t="str">
        <f>'Land Use Chart'!G51</f>
        <v>T = 2.41(X) + 11.79</v>
      </c>
      <c r="BC149" s="263" t="s">
        <v>242</v>
      </c>
      <c r="BD149" s="263">
        <v>2.41</v>
      </c>
      <c r="BE149" s="263">
        <v>11.79</v>
      </c>
      <c r="BF149" s="263">
        <f>'Land Use Chart'!J51</f>
        <v>1.87</v>
      </c>
      <c r="BG149" s="245" t="str">
        <f>'Land Use Chart'!A51</f>
        <v>Automobile Care Center</v>
      </c>
      <c r="BH149" s="253" t="str">
        <f>'Land Use Chart'!C51</f>
        <v>1,000 SF GFA</v>
      </c>
      <c r="BI149" s="355">
        <f>'Land Use Chart'!I51</f>
        <v>1.35</v>
      </c>
      <c r="BL149" s="245" t="str">
        <f>'Land Use Chart'!A51</f>
        <v>Automobile Care Center</v>
      </c>
      <c r="BM149" s="354">
        <f>'Land Use Chart'!H51</f>
        <v>0.4</v>
      </c>
      <c r="BN149" s="263" t="str">
        <f>'Land Use Chart'!F51</f>
        <v>n/a</v>
      </c>
      <c r="BO149" s="263" t="s">
        <v>38</v>
      </c>
      <c r="BP149" s="263">
        <v>0</v>
      </c>
      <c r="BQ149" s="263">
        <v>0</v>
      </c>
    </row>
    <row r="150" spans="23:69" ht="24.75" customHeight="1" hidden="1">
      <c r="W150" s="218">
        <v>46</v>
      </c>
      <c r="X150" s="254"/>
      <c r="Y150" s="253"/>
      <c r="Z150" s="356"/>
      <c r="AA150" s="356"/>
      <c r="AB150" s="358"/>
      <c r="AY150" s="218">
        <v>51</v>
      </c>
      <c r="AZ150" s="245" t="str">
        <f>'Land Use Chart'!A52</f>
        <v>Automobile Parts Sales</v>
      </c>
      <c r="BA150" s="354">
        <f>'Land Use Chart'!H52</f>
        <v>0.43</v>
      </c>
      <c r="BB150" s="263" t="str">
        <f>'Land Use Chart'!G52</f>
        <v>T = 7.87(X) - 14.86</v>
      </c>
      <c r="BC150" s="263" t="s">
        <v>242</v>
      </c>
      <c r="BD150" s="263">
        <v>7.87</v>
      </c>
      <c r="BE150" s="263">
        <v>-14.86</v>
      </c>
      <c r="BF150" s="263">
        <f>'Land Use Chart'!J52</f>
        <v>3.41</v>
      </c>
      <c r="BG150" s="245" t="str">
        <f>'Land Use Chart'!A52</f>
        <v>Automobile Parts Sales</v>
      </c>
      <c r="BH150" s="253" t="str">
        <f>'Land Use Chart'!C52</f>
        <v>1,000 SF GFA</v>
      </c>
      <c r="BI150" s="355">
        <f>'Land Use Chart'!I52</f>
        <v>1.26</v>
      </c>
      <c r="BL150" s="245" t="str">
        <f>'Land Use Chart'!A52</f>
        <v>Automobile Parts Sales</v>
      </c>
      <c r="BM150" s="354">
        <f>'Land Use Chart'!H52</f>
        <v>0.43</v>
      </c>
      <c r="BN150" s="263" t="str">
        <f>'Land Use Chart'!F52</f>
        <v>T = 2.76(X) - 4.34</v>
      </c>
      <c r="BO150" s="263" t="s">
        <v>242</v>
      </c>
      <c r="BP150" s="263">
        <v>2.76</v>
      </c>
      <c r="BQ150" s="263">
        <v>-4.34</v>
      </c>
    </row>
    <row r="151" spans="23:69" ht="24.75" customHeight="1" hidden="1">
      <c r="W151" s="218">
        <v>47</v>
      </c>
      <c r="X151" s="254"/>
      <c r="Y151" s="253"/>
      <c r="Z151" s="356"/>
      <c r="AA151" s="356"/>
      <c r="AB151" s="358"/>
      <c r="AY151" s="218">
        <v>52</v>
      </c>
      <c r="AZ151" s="245" t="str">
        <f>'Land Use Chart'!A53</f>
        <v>Gasoline/Service Station</v>
      </c>
      <c r="BA151" s="354">
        <f>'Land Use Chart'!H53</f>
        <v>0.42</v>
      </c>
      <c r="BB151" s="263" t="str">
        <f>'Land Use Chart'!G53</f>
        <v>n/a</v>
      </c>
      <c r="BC151" s="263" t="s">
        <v>38</v>
      </c>
      <c r="BD151" s="263">
        <v>0</v>
      </c>
      <c r="BE151" s="263">
        <v>0</v>
      </c>
      <c r="BF151" s="263">
        <f>'Land Use Chart'!J53</f>
        <v>8.04</v>
      </c>
      <c r="BG151" s="245" t="str">
        <f>'Land Use Chart'!A53</f>
        <v>Gasoline/Service Station</v>
      </c>
      <c r="BH151" s="253" t="str">
        <f>'Land Use Chart'!C53</f>
        <v>Fueling Position</v>
      </c>
      <c r="BI151" s="355">
        <f>'Land Use Chart'!I53</f>
        <v>7.05</v>
      </c>
      <c r="BL151" s="245" t="str">
        <f>'Land Use Chart'!A53</f>
        <v>Gasoline/Service Station</v>
      </c>
      <c r="BM151" s="354">
        <f>'Land Use Chart'!H53</f>
        <v>0.42</v>
      </c>
      <c r="BN151" s="263" t="str">
        <f>'Land Use Chart'!F53</f>
        <v>T = 10.27(X) + 13.89</v>
      </c>
      <c r="BO151" s="263" t="s">
        <v>242</v>
      </c>
      <c r="BP151" s="263">
        <v>10.27</v>
      </c>
      <c r="BQ151" s="263">
        <v>13.89</v>
      </c>
    </row>
    <row r="152" spans="23:69" ht="24.75" customHeight="1" hidden="1">
      <c r="W152" s="218">
        <v>48</v>
      </c>
      <c r="X152" s="245"/>
      <c r="Y152" s="253"/>
      <c r="Z152" s="356"/>
      <c r="AA152" s="356"/>
      <c r="AB152" s="358"/>
      <c r="AY152" s="218">
        <v>53</v>
      </c>
      <c r="AZ152" s="245" t="str">
        <f>'Land Use Chart'!A54</f>
        <v>Gasoline/Service Station w/ Conv Market</v>
      </c>
      <c r="BA152" s="354">
        <f>'Land Use Chart'!H54</f>
        <v>0.56</v>
      </c>
      <c r="BB152" s="263" t="str">
        <f>'Land Use Chart'!G54</f>
        <v>n/a</v>
      </c>
      <c r="BC152" s="263" t="s">
        <v>38</v>
      </c>
      <c r="BD152" s="263">
        <v>0</v>
      </c>
      <c r="BE152" s="263">
        <v>0</v>
      </c>
      <c r="BF152" s="263">
        <f>'Land Use Chart'!J54</f>
        <v>5.94</v>
      </c>
      <c r="BG152" s="245" t="str">
        <f>'Land Use Chart'!A54</f>
        <v>Gasoline/Service Station w/ Conv Market</v>
      </c>
      <c r="BH152" s="253" t="str">
        <f>'Land Use Chart'!C54</f>
        <v>Fueling Position</v>
      </c>
      <c r="BI152" s="355">
        <f>'Land Use Chart'!I54</f>
        <v>4.47</v>
      </c>
      <c r="BL152" s="245" t="str">
        <f>'Land Use Chart'!A54</f>
        <v>Gasoline/Service Station w/ Conv Market</v>
      </c>
      <c r="BM152" s="354">
        <f>'Land Use Chart'!H54</f>
        <v>0.56</v>
      </c>
      <c r="BN152" s="263" t="str">
        <f>'Land Use Chart'!F54</f>
        <v>n/a</v>
      </c>
      <c r="BO152" s="263" t="s">
        <v>38</v>
      </c>
      <c r="BP152" s="263">
        <v>0</v>
      </c>
      <c r="BQ152" s="263">
        <v>0</v>
      </c>
    </row>
    <row r="153" spans="23:69" ht="24.75" customHeight="1" hidden="1">
      <c r="W153" s="218">
        <v>49</v>
      </c>
      <c r="X153" s="245"/>
      <c r="Y153" s="253"/>
      <c r="Z153" s="356"/>
      <c r="AA153" s="356"/>
      <c r="AB153" s="358"/>
      <c r="AY153" s="218">
        <v>54</v>
      </c>
      <c r="AZ153" s="245" t="str">
        <f>'Land Use Chart'!A55</f>
        <v>Service Station w/ Market and Car Wash</v>
      </c>
      <c r="BA153" s="354">
        <f>'Land Use Chart'!H55</f>
        <v>0.56</v>
      </c>
      <c r="BB153" s="263" t="str">
        <f>'Land Use Chart'!G55</f>
        <v>n/a</v>
      </c>
      <c r="BC153" s="263" t="s">
        <v>38</v>
      </c>
      <c r="BD153" s="263">
        <v>0</v>
      </c>
      <c r="BE153" s="263">
        <v>0</v>
      </c>
      <c r="BF153" s="263">
        <f>'Land Use Chart'!J55</f>
        <v>6.1</v>
      </c>
      <c r="BG153" s="245" t="str">
        <f>'Land Use Chart'!A55</f>
        <v>Service Station w/ Market and Car Wash</v>
      </c>
      <c r="BH153" s="253" t="str">
        <f>'Land Use Chart'!C55</f>
        <v>Fueling Position</v>
      </c>
      <c r="BI153" s="355">
        <f>'Land Use Chart'!I55</f>
        <v>5.21</v>
      </c>
      <c r="BL153" s="245" t="str">
        <f>'Land Use Chart'!A55</f>
        <v>Service Station w/ Market and Car Wash</v>
      </c>
      <c r="BM153" s="354">
        <f>'Land Use Chart'!H55</f>
        <v>0.56</v>
      </c>
      <c r="BN153" s="263" t="str">
        <f>'Land Use Chart'!F55</f>
        <v>n/a</v>
      </c>
      <c r="BO153" s="263" t="s">
        <v>38</v>
      </c>
      <c r="BP153" s="263">
        <v>0</v>
      </c>
      <c r="BQ153" s="263">
        <v>0</v>
      </c>
    </row>
    <row r="154" spans="23:69" ht="24.75" customHeight="1" hidden="1">
      <c r="W154" s="218">
        <v>50</v>
      </c>
      <c r="X154" s="245"/>
      <c r="Y154" s="253"/>
      <c r="Z154" s="356"/>
      <c r="AA154" s="356"/>
      <c r="AB154" s="358"/>
      <c r="AY154" s="218">
        <v>55</v>
      </c>
      <c r="AZ154" s="245" t="str">
        <f>'Land Use Chart'!A56</f>
        <v>New and Used Car Sales</v>
      </c>
      <c r="BA154" s="354">
        <f>'Land Use Chart'!H56</f>
        <v>0.2</v>
      </c>
      <c r="BB154" s="263" t="str">
        <f>'Land Use Chart'!G56</f>
        <v>T = 1.91(X) + 23.74</v>
      </c>
      <c r="BC154" s="263" t="s">
        <v>242</v>
      </c>
      <c r="BD154" s="263">
        <v>1.91</v>
      </c>
      <c r="BE154" s="263">
        <v>23.74</v>
      </c>
      <c r="BF154" s="263">
        <f>'Land Use Chart'!J56</f>
        <v>2.1</v>
      </c>
      <c r="BG154" s="245" t="str">
        <f>'Land Use Chart'!A56</f>
        <v>New and Used Car Sales</v>
      </c>
      <c r="BH154" s="253" t="str">
        <f>'Land Use Chart'!C56</f>
        <v>1,000 SF GFA</v>
      </c>
      <c r="BI154" s="355">
        <f>'Land Use Chart'!I56</f>
        <v>1.54</v>
      </c>
      <c r="BL154" s="245" t="str">
        <f>'Land Use Chart'!A56</f>
        <v>New and Used Car Sales</v>
      </c>
      <c r="BM154" s="354">
        <f>'Land Use Chart'!H56</f>
        <v>0.2</v>
      </c>
      <c r="BN154" s="263" t="str">
        <f>'Land Use Chart'!F56</f>
        <v>n/a</v>
      </c>
      <c r="BO154" s="263" t="s">
        <v>38</v>
      </c>
      <c r="BP154" s="263">
        <v>0</v>
      </c>
      <c r="BQ154" s="263">
        <v>0</v>
      </c>
    </row>
    <row r="155" spans="23:69" ht="24.75" customHeight="1" hidden="1">
      <c r="W155" s="218">
        <v>51</v>
      </c>
      <c r="X155" s="245"/>
      <c r="Y155" s="253"/>
      <c r="Z155" s="356"/>
      <c r="AA155" s="356"/>
      <c r="AB155" s="358"/>
      <c r="AY155" s="218">
        <v>56</v>
      </c>
      <c r="AZ155" s="245" t="str">
        <f>'Land Use Chart'!A57</f>
        <v>Quick Lubrication Vehicle Center</v>
      </c>
      <c r="BA155" s="354">
        <f>'Land Use Chart'!H57</f>
        <v>0.4</v>
      </c>
      <c r="BB155" s="263" t="str">
        <f>'Land Use Chart'!G57</f>
        <v>n/a</v>
      </c>
      <c r="BC155" s="263" t="s">
        <v>38</v>
      </c>
      <c r="BD155" s="263">
        <v>0</v>
      </c>
      <c r="BE155" s="263">
        <v>0</v>
      </c>
      <c r="BF155" s="263">
        <f>'Land Use Chart'!J57</f>
        <v>3.11</v>
      </c>
      <c r="BG155" s="245" t="str">
        <f>'Land Use Chart'!A57</f>
        <v>Quick Lubrication Vehicle Center</v>
      </c>
      <c r="BH155" s="253" t="str">
        <f>'Land Use Chart'!C57</f>
        <v>Service Position</v>
      </c>
      <c r="BI155" s="355">
        <f>'Land Use Chart'!I57</f>
        <v>1.8</v>
      </c>
      <c r="BL155" s="245" t="str">
        <f>'Land Use Chart'!A57</f>
        <v>Quick Lubrication Vehicle Center</v>
      </c>
      <c r="BM155" s="354">
        <f>'Land Use Chart'!H57</f>
        <v>0.4</v>
      </c>
      <c r="BN155" s="263" t="str">
        <f>'Land Use Chart'!F57</f>
        <v>n/a</v>
      </c>
      <c r="BO155" s="263" t="s">
        <v>38</v>
      </c>
      <c r="BP155" s="263">
        <v>0</v>
      </c>
      <c r="BQ155" s="263">
        <v>0</v>
      </c>
    </row>
    <row r="156" spans="23:69" ht="24.75" customHeight="1" hidden="1">
      <c r="W156" s="218">
        <v>52</v>
      </c>
      <c r="X156" s="245"/>
      <c r="Y156" s="253"/>
      <c r="Z156" s="356"/>
      <c r="AA156" s="356"/>
      <c r="AB156" s="358"/>
      <c r="AY156" s="218">
        <v>57</v>
      </c>
      <c r="AZ156" s="245" t="str">
        <f>'Land Use Chart'!A58</f>
        <v>Self-Service Car Wash</v>
      </c>
      <c r="BA156" s="354">
        <f>'Land Use Chart'!H58</f>
        <v>0.4</v>
      </c>
      <c r="BB156" s="263" t="str">
        <f>'Land Use Chart'!G58</f>
        <v>n/a</v>
      </c>
      <c r="BC156" s="263" t="s">
        <v>38</v>
      </c>
      <c r="BD156" s="263">
        <v>0</v>
      </c>
      <c r="BE156" s="263">
        <v>0</v>
      </c>
      <c r="BF156" s="263">
        <f>'Land Use Chart'!J58</f>
        <v>3.32</v>
      </c>
      <c r="BG156" s="245" t="str">
        <f>'Land Use Chart'!A58</f>
        <v>Self-Service Car Wash</v>
      </c>
      <c r="BH156" s="253" t="str">
        <f>'Land Use Chart'!C58</f>
        <v>Stall</v>
      </c>
      <c r="BI156" s="355">
        <f>'Land Use Chart'!I58</f>
        <v>4.8</v>
      </c>
      <c r="BL156" s="245" t="str">
        <f>'Land Use Chart'!A58</f>
        <v>Self-Service Car Wash</v>
      </c>
      <c r="BM156" s="354">
        <f>'Land Use Chart'!H58</f>
        <v>0.4</v>
      </c>
      <c r="BN156" s="263" t="str">
        <f>'Land Use Chart'!F58</f>
        <v>n/a</v>
      </c>
      <c r="BO156" s="263" t="s">
        <v>38</v>
      </c>
      <c r="BP156" s="263">
        <v>0</v>
      </c>
      <c r="BQ156" s="263">
        <v>0</v>
      </c>
    </row>
    <row r="157" spans="23:69" ht="24.75" customHeight="1" hidden="1">
      <c r="W157" s="218">
        <v>53</v>
      </c>
      <c r="X157" s="245"/>
      <c r="Y157" s="253"/>
      <c r="Z157" s="356"/>
      <c r="AA157" s="356"/>
      <c r="AB157" s="358"/>
      <c r="AY157" s="218">
        <v>58</v>
      </c>
      <c r="AZ157" s="245" t="str">
        <f>'Land Use Chart'!A59</f>
        <v>Tire Store</v>
      </c>
      <c r="BA157" s="354">
        <f>'Land Use Chart'!H59</f>
        <v>0.28</v>
      </c>
      <c r="BB157" s="263" t="str">
        <f>'Land Use Chart'!G59</f>
        <v>n/a</v>
      </c>
      <c r="BC157" s="263" t="s">
        <v>38</v>
      </c>
      <c r="BD157" s="263">
        <v>0</v>
      </c>
      <c r="BE157" s="263">
        <v>0</v>
      </c>
      <c r="BF157" s="263">
        <f>'Land Use Chart'!J59</f>
        <v>2.99</v>
      </c>
      <c r="BG157" s="245" t="str">
        <f>'Land Use Chart'!A59</f>
        <v>Tire Store</v>
      </c>
      <c r="BH157" s="253" t="str">
        <f>'Land Use Chart'!C59</f>
        <v>1,000 SF GFA</v>
      </c>
      <c r="BI157" s="355">
        <f>'Land Use Chart'!I59</f>
        <v>2.08</v>
      </c>
      <c r="BL157" s="245" t="str">
        <f>'Land Use Chart'!A59</f>
        <v>Tire Store</v>
      </c>
      <c r="BM157" s="354">
        <f>'Land Use Chart'!H59</f>
        <v>0.28</v>
      </c>
      <c r="BN157" s="263" t="str">
        <f>'Land Use Chart'!F59</f>
        <v>n/a</v>
      </c>
      <c r="BO157" s="263" t="s">
        <v>38</v>
      </c>
      <c r="BP157" s="263">
        <v>0</v>
      </c>
      <c r="BQ157" s="263">
        <v>0</v>
      </c>
    </row>
    <row r="158" spans="23:69" ht="24.75" customHeight="1" hidden="1">
      <c r="W158" s="218">
        <v>54</v>
      </c>
      <c r="X158" s="245"/>
      <c r="Y158" s="253"/>
      <c r="Z158" s="356"/>
      <c r="AA158" s="356"/>
      <c r="AB158" s="358"/>
      <c r="AY158" s="218">
        <v>59</v>
      </c>
      <c r="AZ158" s="254" t="str">
        <f>'Land Use Chart'!A60</f>
        <v>     DINING</v>
      </c>
      <c r="BA158" s="354">
        <f>'Land Use Chart'!H60</f>
        <v>0</v>
      </c>
      <c r="BB158" s="263"/>
      <c r="BC158" s="263"/>
      <c r="BD158" s="263"/>
      <c r="BE158" s="263"/>
      <c r="BF158" s="263"/>
      <c r="BG158" s="245" t="str">
        <f>'Land Use Chart'!A60</f>
        <v>     DINING</v>
      </c>
      <c r="BH158" s="253">
        <f>'Land Use Chart'!C60</f>
        <v>0</v>
      </c>
      <c r="BI158" s="355">
        <f>'Land Use Chart'!I60</f>
        <v>0</v>
      </c>
      <c r="BL158" s="254" t="str">
        <f>'Land Use Chart'!A60</f>
        <v>     DINING</v>
      </c>
      <c r="BM158" s="354">
        <f>'Land Use Chart'!H60</f>
        <v>0</v>
      </c>
      <c r="BN158" s="263">
        <f>'Land Use Chart'!F60</f>
        <v>0</v>
      </c>
      <c r="BO158" s="263"/>
      <c r="BP158" s="263"/>
      <c r="BQ158" s="263"/>
    </row>
    <row r="159" spans="23:69" ht="24.75" customHeight="1" hidden="1">
      <c r="W159" s="218">
        <v>55</v>
      </c>
      <c r="X159" s="245"/>
      <c r="Y159" s="253"/>
      <c r="Z159" s="356"/>
      <c r="AA159" s="356"/>
      <c r="AB159" s="358"/>
      <c r="AY159" s="218">
        <v>60</v>
      </c>
      <c r="AZ159" s="245" t="str">
        <f>'Land Use Chart'!A61</f>
        <v>Fast Food Restaurant with Drive-Thru</v>
      </c>
      <c r="BA159" s="354">
        <f>'Land Use Chart'!H61</f>
        <v>0.5</v>
      </c>
      <c r="BB159" s="263" t="str">
        <f>'Land Use Chart'!G61</f>
        <v>n/a</v>
      </c>
      <c r="BC159" s="263" t="s">
        <v>38</v>
      </c>
      <c r="BD159" s="263">
        <v>0</v>
      </c>
      <c r="BE159" s="263">
        <v>0</v>
      </c>
      <c r="BF159" s="263">
        <f>'Land Use Chart'!J61</f>
        <v>16.33</v>
      </c>
      <c r="BG159" s="245" t="str">
        <f>'Land Use Chart'!A61</f>
        <v>Fast Food Restaurant with Drive-Thru</v>
      </c>
      <c r="BH159" s="253" t="str">
        <f>'Land Use Chart'!C61</f>
        <v>1,000 SF GFA</v>
      </c>
      <c r="BI159" s="355">
        <f>'Land Use Chart'!I61</f>
        <v>22.71</v>
      </c>
      <c r="BL159" s="245" t="str">
        <f>'Land Use Chart'!A61</f>
        <v>Fast Food Restaurant with Drive-Thru</v>
      </c>
      <c r="BM159" s="354">
        <f>'Land Use Chart'!H61</f>
        <v>0.5</v>
      </c>
      <c r="BN159" s="263" t="str">
        <f>'Land Use Chart'!F61</f>
        <v>n/a</v>
      </c>
      <c r="BO159" s="263" t="s">
        <v>38</v>
      </c>
      <c r="BP159" s="263">
        <v>0</v>
      </c>
      <c r="BQ159" s="263">
        <v>0</v>
      </c>
    </row>
    <row r="160" spans="23:69" ht="24.75" customHeight="1" hidden="1">
      <c r="W160" s="218">
        <v>56</v>
      </c>
      <c r="X160" s="245"/>
      <c r="Y160" s="253"/>
      <c r="Z160" s="356"/>
      <c r="AA160" s="356"/>
      <c r="AB160" s="358"/>
      <c r="AY160" s="218">
        <v>61</v>
      </c>
      <c r="AZ160" s="245" t="str">
        <f>'Land Use Chart'!A62</f>
        <v>Fast Food Restaurant without Drive-Thru</v>
      </c>
      <c r="BA160" s="354">
        <f>'Land Use Chart'!H62</f>
        <v>0.5</v>
      </c>
      <c r="BB160" s="263" t="str">
        <f>'Land Use Chart'!G62</f>
        <v>n/a</v>
      </c>
      <c r="BC160" s="263" t="s">
        <v>38</v>
      </c>
      <c r="BD160" s="263">
        <v>0</v>
      </c>
      <c r="BE160" s="263">
        <v>0</v>
      </c>
      <c r="BF160" s="263">
        <f>'Land Use Chart'!J62</f>
        <v>13.08</v>
      </c>
      <c r="BG160" s="245" t="str">
        <f>'Land Use Chart'!A62</f>
        <v>Fast Food Restaurant without Drive-Thru</v>
      </c>
      <c r="BH160" s="253" t="str">
        <f>'Land Use Chart'!C62</f>
        <v>1,000 SF GFA</v>
      </c>
      <c r="BI160" s="355">
        <f>'Land Use Chart'!I62</f>
        <v>21.94</v>
      </c>
      <c r="BL160" s="245" t="str">
        <f>'Land Use Chart'!A62</f>
        <v>Fast Food Restaurant without Drive-Thru</v>
      </c>
      <c r="BM160" s="354">
        <f>'Land Use Chart'!H62</f>
        <v>0.5</v>
      </c>
      <c r="BN160" s="263" t="str">
        <f>'Land Use Chart'!F62</f>
        <v>n/a</v>
      </c>
      <c r="BO160" s="263" t="s">
        <v>38</v>
      </c>
      <c r="BP160" s="263">
        <v>0</v>
      </c>
      <c r="BQ160" s="263">
        <v>0</v>
      </c>
    </row>
    <row r="161" spans="23:69" ht="24.75" customHeight="1" hidden="1">
      <c r="W161" s="218">
        <v>57</v>
      </c>
      <c r="X161" s="254"/>
      <c r="Y161" s="253"/>
      <c r="Z161" s="356"/>
      <c r="AA161" s="356"/>
      <c r="AB161" s="358"/>
      <c r="AY161" s="218">
        <v>62</v>
      </c>
      <c r="AZ161" s="245" t="str">
        <f>'Land Use Chart'!A63</f>
        <v>High Turnover (Sit-Down) Restaurant</v>
      </c>
      <c r="BA161" s="354">
        <f>'Land Use Chart'!H63</f>
        <v>0.43</v>
      </c>
      <c r="BB161" s="263" t="str">
        <f>'Land Use Chart'!G63</f>
        <v>n/a</v>
      </c>
      <c r="BC161" s="263" t="s">
        <v>38</v>
      </c>
      <c r="BD161" s="263">
        <v>0</v>
      </c>
      <c r="BE161" s="263">
        <v>0</v>
      </c>
      <c r="BF161" s="263">
        <f>'Land Use Chart'!J63</f>
        <v>5.61</v>
      </c>
      <c r="BG161" s="245" t="str">
        <f>'Land Use Chart'!A63</f>
        <v>High Turnover (Sit-Down) Restaurant</v>
      </c>
      <c r="BH161" s="253" t="str">
        <f>'Land Use Chart'!C63</f>
        <v>1,000 SF GFA</v>
      </c>
      <c r="BI161" s="355">
        <f>'Land Use Chart'!I63</f>
        <v>6.16</v>
      </c>
      <c r="BL161" s="245" t="str">
        <f>'Land Use Chart'!A63</f>
        <v>High Turnover (Sit-Down) Restaurant</v>
      </c>
      <c r="BM161" s="354">
        <f>'Land Use Chart'!H63</f>
        <v>0.43</v>
      </c>
      <c r="BN161" s="263" t="str">
        <f>'Land Use Chart'!F63</f>
        <v>n/a</v>
      </c>
      <c r="BO161" s="263" t="s">
        <v>38</v>
      </c>
      <c r="BP161" s="263">
        <v>0</v>
      </c>
      <c r="BQ161" s="263">
        <v>0</v>
      </c>
    </row>
    <row r="162" spans="23:69" ht="24.75" customHeight="1" hidden="1">
      <c r="W162" s="218">
        <v>58</v>
      </c>
      <c r="X162" s="245"/>
      <c r="Y162" s="253"/>
      <c r="Z162" s="356"/>
      <c r="AA162" s="356"/>
      <c r="AB162" s="358"/>
      <c r="AY162" s="218">
        <v>63</v>
      </c>
      <c r="AZ162" s="245" t="str">
        <f>'Land Use Chart'!A64</f>
        <v>Quality Restaurant</v>
      </c>
      <c r="BA162" s="354">
        <f>'Land Use Chart'!H64</f>
        <v>0.44</v>
      </c>
      <c r="BB162" s="263" t="str">
        <f>'Land Use Chart'!G64</f>
        <v>n/a</v>
      </c>
      <c r="BC162" s="263" t="s">
        <v>38</v>
      </c>
      <c r="BD162" s="263">
        <v>0</v>
      </c>
      <c r="BE162" s="263">
        <v>0</v>
      </c>
      <c r="BF162" s="263">
        <f>'Land Use Chart'!J64</f>
        <v>4.19</v>
      </c>
      <c r="BG162" s="245" t="str">
        <f>'Land Use Chart'!A64</f>
        <v>Quality Restaurant</v>
      </c>
      <c r="BH162" s="253" t="str">
        <f>'Land Use Chart'!C64</f>
        <v>1,000 SF GFA</v>
      </c>
      <c r="BI162" s="355">
        <f>'Land Use Chart'!I64</f>
        <v>0.45</v>
      </c>
      <c r="BL162" s="245" t="str">
        <f>'Land Use Chart'!A64</f>
        <v>Quality Restaurant</v>
      </c>
      <c r="BM162" s="354">
        <f>'Land Use Chart'!H64</f>
        <v>0.44</v>
      </c>
      <c r="BN162" s="263" t="str">
        <f>'Land Use Chart'!F64</f>
        <v>n/a</v>
      </c>
      <c r="BO162" s="263" t="s">
        <v>38</v>
      </c>
      <c r="BP162" s="263">
        <v>0</v>
      </c>
      <c r="BQ162" s="263">
        <v>0</v>
      </c>
    </row>
    <row r="163" spans="23:69" ht="24.75" customHeight="1" hidden="1">
      <c r="W163" s="218">
        <v>59</v>
      </c>
      <c r="X163" s="245"/>
      <c r="Y163" s="253"/>
      <c r="Z163" s="356"/>
      <c r="AA163" s="356"/>
      <c r="AB163" s="358"/>
      <c r="AY163" s="218">
        <v>64</v>
      </c>
      <c r="AZ163" s="245" t="str">
        <f>'Land Use Chart'!A65</f>
        <v>Coffee/Donut Shop with Drive-Thru Window</v>
      </c>
      <c r="BA163" s="354">
        <f>'Land Use Chart'!H65</f>
        <v>0.7</v>
      </c>
      <c r="BB163" s="263" t="str">
        <f>'Land Use Chart'!G65</f>
        <v>n/a</v>
      </c>
      <c r="BC163" s="263" t="s">
        <v>38</v>
      </c>
      <c r="BD163" s="263">
        <v>0</v>
      </c>
      <c r="BE163" s="263">
        <v>0</v>
      </c>
      <c r="BF163" s="263">
        <f>'Land Use Chart'!J65</f>
        <v>12.84</v>
      </c>
      <c r="BG163" s="245" t="str">
        <f>'Land Use Chart'!A65</f>
        <v>Coffee/Donut Shop with Drive-Thru Window</v>
      </c>
      <c r="BH163" s="253" t="str">
        <f>'Land Use Chart'!C65</f>
        <v>1,000 SF GFA</v>
      </c>
      <c r="BI163" s="355">
        <f>'Land Use Chart'!I65</f>
        <v>30.17</v>
      </c>
      <c r="BL163" s="245" t="str">
        <f>'Land Use Chart'!A65</f>
        <v>Coffee/Donut Shop with Drive-Thru Window</v>
      </c>
      <c r="BM163" s="354">
        <f>'Land Use Chart'!H65</f>
        <v>0.7</v>
      </c>
      <c r="BN163" s="263" t="str">
        <f>'Land Use Chart'!F65</f>
        <v>n/a</v>
      </c>
      <c r="BO163" s="263" t="s">
        <v>38</v>
      </c>
      <c r="BP163" s="263">
        <v>0</v>
      </c>
      <c r="BQ163" s="263">
        <v>0</v>
      </c>
    </row>
    <row r="164" spans="23:69" ht="24.75" customHeight="1" hidden="1">
      <c r="W164" s="218">
        <v>60</v>
      </c>
      <c r="X164" s="245"/>
      <c r="Y164" s="253"/>
      <c r="Z164" s="356"/>
      <c r="AA164" s="356"/>
      <c r="AB164" s="358"/>
      <c r="AY164" s="218">
        <v>65</v>
      </c>
      <c r="AZ164" s="254" t="str">
        <f>'Land Use Chart'!A66</f>
        <v>     OTHER RETAIL</v>
      </c>
      <c r="BA164" s="354">
        <f>'Land Use Chart'!H66</f>
        <v>0</v>
      </c>
      <c r="BB164" s="263"/>
      <c r="BC164" s="263"/>
      <c r="BD164" s="263"/>
      <c r="BE164" s="263"/>
      <c r="BF164" s="263"/>
      <c r="BG164" s="245" t="str">
        <f>'Land Use Chart'!A66</f>
        <v>     OTHER RETAIL</v>
      </c>
      <c r="BH164" s="253">
        <f>'Land Use Chart'!C66</f>
        <v>0</v>
      </c>
      <c r="BI164" s="355">
        <f>'Land Use Chart'!I66</f>
        <v>0</v>
      </c>
      <c r="BL164" s="254" t="str">
        <f>'Land Use Chart'!A66</f>
        <v>     OTHER RETAIL</v>
      </c>
      <c r="BM164" s="354">
        <f>'Land Use Chart'!H66</f>
        <v>0</v>
      </c>
      <c r="BN164" s="263">
        <f>'Land Use Chart'!F66</f>
        <v>0</v>
      </c>
      <c r="BO164" s="263"/>
      <c r="BP164" s="263"/>
      <c r="BQ164" s="263"/>
    </row>
    <row r="165" spans="23:69" ht="24.75" customHeight="1" hidden="1">
      <c r="W165" s="218">
        <v>61</v>
      </c>
      <c r="X165" s="245"/>
      <c r="Y165" s="253"/>
      <c r="Z165" s="356"/>
      <c r="AA165" s="356"/>
      <c r="AB165" s="358"/>
      <c r="AY165" s="218">
        <v>66</v>
      </c>
      <c r="AZ165" s="245" t="str">
        <f>'Land Use Chart'!A67</f>
        <v>Free-Standing Discount Store</v>
      </c>
      <c r="BA165" s="354">
        <f>'Land Use Chart'!H67</f>
        <v>0.3</v>
      </c>
      <c r="BB165" s="263" t="str">
        <f>'Land Use Chart'!G67</f>
        <v>n/a</v>
      </c>
      <c r="BC165" s="263" t="s">
        <v>38</v>
      </c>
      <c r="BD165" s="263">
        <v>0</v>
      </c>
      <c r="BE165" s="263">
        <v>0</v>
      </c>
      <c r="BF165" s="263">
        <f>'Land Use Chart'!J67</f>
        <v>3.49</v>
      </c>
      <c r="BG165" s="245" t="str">
        <f>'Land Use Chart'!A67</f>
        <v>Free-Standing Discount Store</v>
      </c>
      <c r="BH165" s="253" t="str">
        <f>'Land Use Chart'!C67</f>
        <v>1,000 SF GFA</v>
      </c>
      <c r="BI165" s="355">
        <f>'Land Use Chart'!I67</f>
        <v>0.74</v>
      </c>
      <c r="BL165" s="245" t="str">
        <f>'Land Use Chart'!A67</f>
        <v>Free-Standing Discount Store</v>
      </c>
      <c r="BM165" s="354">
        <f>'Land Use Chart'!H67</f>
        <v>0.3</v>
      </c>
      <c r="BN165" s="263" t="str">
        <f>'Land Use Chart'!F67</f>
        <v>n/a</v>
      </c>
      <c r="BO165" s="263" t="s">
        <v>38</v>
      </c>
      <c r="BP165" s="263">
        <v>0</v>
      </c>
      <c r="BQ165" s="263">
        <v>0</v>
      </c>
    </row>
    <row r="166" spans="23:69" ht="24.75" customHeight="1" hidden="1">
      <c r="W166" s="218">
        <v>62</v>
      </c>
      <c r="X166" s="245"/>
      <c r="Y166" s="253"/>
      <c r="Z166" s="356"/>
      <c r="AA166" s="356"/>
      <c r="AB166" s="358"/>
      <c r="AY166" s="218">
        <v>67</v>
      </c>
      <c r="AZ166" s="245" t="str">
        <f>'Land Use Chart'!A68</f>
        <v>Garden Center (Nursery)</v>
      </c>
      <c r="BA166" s="354">
        <f>'Land Use Chart'!H68</f>
        <v>0.3</v>
      </c>
      <c r="BB166" s="263" t="str">
        <f>'Land Use Chart'!G68</f>
        <v>n/a</v>
      </c>
      <c r="BC166" s="263" t="s">
        <v>38</v>
      </c>
      <c r="BD166" s="263">
        <v>0</v>
      </c>
      <c r="BE166" s="263">
        <v>0</v>
      </c>
      <c r="BF166" s="263">
        <f>'Land Use Chart'!J68</f>
        <v>4.86</v>
      </c>
      <c r="BG166" s="245" t="str">
        <f>'Land Use Chart'!A68</f>
        <v>Garden Center (Nursery)</v>
      </c>
      <c r="BH166" s="253" t="str">
        <f>'Land Use Chart'!C68</f>
        <v>1,000 SF GFA</v>
      </c>
      <c r="BI166" s="355">
        <f>'Land Use Chart'!I68</f>
        <v>1.7</v>
      </c>
      <c r="BL166" s="245" t="str">
        <f>'Land Use Chart'!A68</f>
        <v>Garden Center (Nursery)</v>
      </c>
      <c r="BM166" s="354">
        <f>'Land Use Chart'!H68</f>
        <v>0.3</v>
      </c>
      <c r="BN166" s="263" t="str">
        <f>'Land Use Chart'!F68</f>
        <v>n/a</v>
      </c>
      <c r="BO166" s="263" t="s">
        <v>38</v>
      </c>
      <c r="BP166" s="263">
        <v>0</v>
      </c>
      <c r="BQ166" s="263">
        <v>0</v>
      </c>
    </row>
    <row r="167" spans="23:69" ht="24.75" customHeight="1" hidden="1">
      <c r="W167" s="218">
        <v>63</v>
      </c>
      <c r="X167" s="254"/>
      <c r="Y167" s="253"/>
      <c r="Z167" s="356"/>
      <c r="AA167" s="356"/>
      <c r="AB167" s="358"/>
      <c r="AY167" s="218">
        <v>68</v>
      </c>
      <c r="AZ167" s="245" t="str">
        <f>'Land Use Chart'!A69</f>
        <v>Home Improvement Superstore</v>
      </c>
      <c r="BA167" s="354">
        <f>'Land Use Chart'!H69</f>
        <v>0.48</v>
      </c>
      <c r="BB167" s="263" t="str">
        <f>'Land Use Chart'!G69</f>
        <v>n/a</v>
      </c>
      <c r="BC167" s="263" t="s">
        <v>38</v>
      </c>
      <c r="BD167" s="263">
        <v>0</v>
      </c>
      <c r="BE167" s="263">
        <v>0</v>
      </c>
      <c r="BF167" s="263">
        <f>'Land Use Chart'!J69</f>
        <v>1.21</v>
      </c>
      <c r="BG167" s="245" t="str">
        <f>'Land Use Chart'!A69</f>
        <v>Home Improvement Superstore</v>
      </c>
      <c r="BH167" s="253" t="str">
        <f>'Land Use Chart'!C69</f>
        <v>1,000 SF GFA</v>
      </c>
      <c r="BI167" s="355">
        <f>'Land Use Chart'!I69</f>
        <v>0.77</v>
      </c>
      <c r="BL167" s="245" t="str">
        <f>'Land Use Chart'!A69</f>
        <v>Home Improvement Superstore</v>
      </c>
      <c r="BM167" s="354">
        <f>'Land Use Chart'!H69</f>
        <v>0.48</v>
      </c>
      <c r="BN167" s="263" t="str">
        <f>'Land Use Chart'!F69</f>
        <v>n/a</v>
      </c>
      <c r="BO167" s="263" t="s">
        <v>38</v>
      </c>
      <c r="BP167" s="263">
        <v>0</v>
      </c>
      <c r="BQ167" s="263">
        <v>0</v>
      </c>
    </row>
    <row r="168" spans="23:69" ht="24.75" customHeight="1" hidden="1">
      <c r="W168" s="218">
        <v>64</v>
      </c>
      <c r="X168" s="245"/>
      <c r="Y168" s="253"/>
      <c r="Z168" s="356"/>
      <c r="AA168" s="356"/>
      <c r="AB168" s="358"/>
      <c r="AY168" s="218">
        <v>69</v>
      </c>
      <c r="AZ168" s="245" t="str">
        <f>'Land Use Chart'!A70</f>
        <v>Pharmacy/Drugstore w/o Drive-Thru</v>
      </c>
      <c r="BA168" s="354">
        <f>'Land Use Chart'!H70</f>
        <v>0.53</v>
      </c>
      <c r="BB168" s="263" t="str">
        <f>'Land Use Chart'!G70</f>
        <v>n/a</v>
      </c>
      <c r="BC168" s="263" t="s">
        <v>38</v>
      </c>
      <c r="BD168" s="263">
        <v>0</v>
      </c>
      <c r="BE168" s="263">
        <v>0</v>
      </c>
      <c r="BF168" s="263">
        <f>'Land Use Chart'!J70</f>
        <v>3.95</v>
      </c>
      <c r="BG168" s="245" t="str">
        <f>'Land Use Chart'!A70</f>
        <v>Pharmacy/Drugstore w/o Drive-Thru</v>
      </c>
      <c r="BH168" s="253" t="str">
        <f>'Land Use Chart'!C70</f>
        <v>1,000 SF GFA</v>
      </c>
      <c r="BI168" s="355">
        <f>'Land Use Chart'!I70</f>
        <v>1.38</v>
      </c>
      <c r="BL168" s="245" t="str">
        <f>'Land Use Chart'!A70</f>
        <v>Pharmacy/Drugstore w/o Drive-Thru</v>
      </c>
      <c r="BM168" s="354">
        <f>'Land Use Chart'!H70</f>
        <v>0.53</v>
      </c>
      <c r="BN168" s="263" t="str">
        <f>'Land Use Chart'!F70</f>
        <v>T = 10.22(X) -75.80</v>
      </c>
      <c r="BO168" s="263" t="s">
        <v>242</v>
      </c>
      <c r="BP168" s="263">
        <v>10.22</v>
      </c>
      <c r="BQ168" s="263">
        <v>-75.8</v>
      </c>
    </row>
    <row r="169" spans="23:69" ht="24.75" customHeight="1" hidden="1">
      <c r="W169" s="218">
        <v>65</v>
      </c>
      <c r="X169" s="245"/>
      <c r="Y169" s="253"/>
      <c r="Z169" s="356"/>
      <c r="AA169" s="356"/>
      <c r="AB169" s="358"/>
      <c r="AY169" s="218">
        <v>70</v>
      </c>
      <c r="AZ169" s="245" t="str">
        <f>'Land Use Chart'!A71</f>
        <v>Pharmacy/Drugstore w Drive-Thru</v>
      </c>
      <c r="BA169" s="354">
        <f>'Land Use Chart'!H71</f>
        <v>0.49</v>
      </c>
      <c r="BB169" s="263" t="str">
        <f>'Land Use Chart'!G71</f>
        <v>n/a</v>
      </c>
      <c r="BC169" s="263" t="s">
        <v>38</v>
      </c>
      <c r="BD169" s="263">
        <v>0</v>
      </c>
      <c r="BE169" s="263">
        <v>0</v>
      </c>
      <c r="BF169" s="263">
        <f>'Land Use Chart'!J71</f>
        <v>5.05</v>
      </c>
      <c r="BG169" s="245" t="str">
        <f>'Land Use Chart'!A71</f>
        <v>Pharmacy/Drugstore w Drive-Thru</v>
      </c>
      <c r="BH169" s="253" t="str">
        <f>'Land Use Chart'!C71</f>
        <v>1,000 SF GFA</v>
      </c>
      <c r="BI169" s="355">
        <f>'Land Use Chart'!I71</f>
        <v>1.76</v>
      </c>
      <c r="BL169" s="245" t="str">
        <f>'Land Use Chart'!A71</f>
        <v>Pharmacy/Drugstore w Drive-Thru</v>
      </c>
      <c r="BM169" s="354">
        <f>'Land Use Chart'!H71</f>
        <v>0.49</v>
      </c>
      <c r="BN169" s="263" t="str">
        <f>'Land Use Chart'!F71</f>
        <v>n/a</v>
      </c>
      <c r="BO169" s="263" t="s">
        <v>38</v>
      </c>
      <c r="BP169" s="263">
        <v>0</v>
      </c>
      <c r="BQ169" s="263">
        <v>0</v>
      </c>
    </row>
    <row r="170" spans="23:69" ht="24.75" customHeight="1" hidden="1">
      <c r="W170" s="218">
        <v>66</v>
      </c>
      <c r="X170" s="245"/>
      <c r="Y170" s="253"/>
      <c r="Z170" s="356"/>
      <c r="AA170" s="356"/>
      <c r="AB170" s="358"/>
      <c r="AY170" s="218">
        <v>71</v>
      </c>
      <c r="AZ170" s="245" t="str">
        <f>'Land Use Chart'!A72</f>
        <v>Shopping Center</v>
      </c>
      <c r="BA170" s="354">
        <f>'Land Use Chart'!H72</f>
        <v>0.34</v>
      </c>
      <c r="BB170" s="263" t="str">
        <f>'Land Use Chart'!G72</f>
        <v>Ln(T) = 0.67 Ln(X) + 3.31</v>
      </c>
      <c r="BC170" s="263" t="s">
        <v>243</v>
      </c>
      <c r="BD170" s="263">
        <v>0.67</v>
      </c>
      <c r="BE170" s="263">
        <v>3.31</v>
      </c>
      <c r="BF170" s="263">
        <f>'Land Use Chart'!J72</f>
        <v>2.45</v>
      </c>
      <c r="BG170" s="245" t="str">
        <f>'Land Use Chart'!A72</f>
        <v>Shopping Center</v>
      </c>
      <c r="BH170" s="253" t="str">
        <f>'Land Use Chart'!C72</f>
        <v>1,000 SF GFA</v>
      </c>
      <c r="BI170" s="355">
        <f>'Land Use Chart'!I72</f>
        <v>0.63</v>
      </c>
      <c r="BL170" s="245" t="str">
        <f>'Land Use Chart'!A72</f>
        <v>Shopping Center</v>
      </c>
      <c r="BM170" s="354">
        <f>'Land Use Chart'!H72</f>
        <v>0.34</v>
      </c>
      <c r="BN170" s="263" t="str">
        <f>'Land Use Chart'!F72</f>
        <v>Ln(T) = 0.61 Ln(X) + 2.24</v>
      </c>
      <c r="BO170" s="263" t="s">
        <v>243</v>
      </c>
      <c r="BP170" s="263">
        <v>0.61</v>
      </c>
      <c r="BQ170" s="263">
        <v>2.24</v>
      </c>
    </row>
    <row r="171" spans="23:69" ht="24.75" customHeight="1" hidden="1">
      <c r="W171" s="218">
        <v>67</v>
      </c>
      <c r="X171" s="245"/>
      <c r="Y171" s="253"/>
      <c r="Z171" s="356"/>
      <c r="AA171" s="356"/>
      <c r="AB171" s="358"/>
      <c r="AY171" s="218">
        <v>72</v>
      </c>
      <c r="AZ171" s="245" t="str">
        <f>'Land Use Chart'!A73</f>
        <v>Supermarket</v>
      </c>
      <c r="BA171" s="354">
        <f>'Land Use Chart'!H73</f>
        <v>0.36</v>
      </c>
      <c r="BB171" s="263" t="str">
        <f>'Land Use Chart'!G73</f>
        <v>Ln(T) = 0.74 Ln(X) + 3.25</v>
      </c>
      <c r="BC171" s="263" t="s">
        <v>243</v>
      </c>
      <c r="BD171" s="263">
        <v>0.74</v>
      </c>
      <c r="BE171" s="263">
        <v>3.25</v>
      </c>
      <c r="BF171" s="263">
        <f>'Land Use Chart'!J73</f>
        <v>6.07</v>
      </c>
      <c r="BG171" s="245" t="str">
        <f>'Land Use Chart'!A73</f>
        <v>Supermarket</v>
      </c>
      <c r="BH171" s="253" t="str">
        <f>'Land Use Chart'!C73</f>
        <v>1,000 SF GFA</v>
      </c>
      <c r="BI171" s="355">
        <f>'Land Use Chart'!I73</f>
        <v>2.18</v>
      </c>
      <c r="BL171" s="245" t="str">
        <f>'Land Use Chart'!A73</f>
        <v>Supermarket</v>
      </c>
      <c r="BM171" s="354">
        <f>'Land Use Chart'!H73</f>
        <v>0.36</v>
      </c>
      <c r="BN171" s="263" t="str">
        <f>'Land Use Chart'!F73</f>
        <v>n/a</v>
      </c>
      <c r="BO171" s="263" t="s">
        <v>38</v>
      </c>
      <c r="BP171" s="263">
        <v>0</v>
      </c>
      <c r="BQ171" s="263">
        <v>0</v>
      </c>
    </row>
    <row r="172" spans="23:69" ht="24.75" customHeight="1" hidden="1">
      <c r="W172" s="218">
        <v>68</v>
      </c>
      <c r="X172" s="245"/>
      <c r="Y172" s="253"/>
      <c r="Z172" s="356"/>
      <c r="AA172" s="356"/>
      <c r="AY172" s="218">
        <v>73</v>
      </c>
      <c r="AZ172" s="245" t="str">
        <f>'Land Use Chart'!A74</f>
        <v>Toy/Children's Superstore</v>
      </c>
      <c r="BA172" s="354">
        <f>'Land Use Chart'!H74</f>
        <v>0.3</v>
      </c>
      <c r="BB172" s="263" t="str">
        <f>'Land Use Chart'!G74</f>
        <v>n/a</v>
      </c>
      <c r="BC172" s="220" t="s">
        <v>38</v>
      </c>
      <c r="BD172" s="220">
        <v>0</v>
      </c>
      <c r="BE172" s="220">
        <v>0</v>
      </c>
      <c r="BF172" s="263">
        <f>'Land Use Chart'!J74</f>
        <v>3.49</v>
      </c>
      <c r="BG172" s="245" t="str">
        <f>'Land Use Chart'!A74</f>
        <v>Toy/Children's Superstore</v>
      </c>
      <c r="BH172" s="253" t="str">
        <f>'Land Use Chart'!C74</f>
        <v>1,000 SF GFA</v>
      </c>
      <c r="BI172" s="355">
        <f>'Land Use Chart'!I74</f>
        <v>0</v>
      </c>
      <c r="BL172" s="245" t="str">
        <f>'Land Use Chart'!A74</f>
        <v>Toy/Children's Superstore</v>
      </c>
      <c r="BM172" s="354">
        <f>'Land Use Chart'!H74</f>
        <v>0.3</v>
      </c>
      <c r="BN172" s="263" t="str">
        <f>'Land Use Chart'!F74</f>
        <v>n/a</v>
      </c>
      <c r="BO172" s="220" t="s">
        <v>38</v>
      </c>
      <c r="BP172" s="263">
        <v>0</v>
      </c>
      <c r="BQ172" s="263">
        <v>0</v>
      </c>
    </row>
    <row r="173" spans="23:69" ht="24.75" customHeight="1" hidden="1">
      <c r="W173" s="218">
        <v>69</v>
      </c>
      <c r="X173" s="245"/>
      <c r="Y173" s="253"/>
      <c r="Z173" s="356"/>
      <c r="AA173" s="356"/>
      <c r="AY173" s="218">
        <v>74</v>
      </c>
      <c r="AZ173" s="245" t="str">
        <f>'Land Use Chart'!A75</f>
        <v>Department Store</v>
      </c>
      <c r="BA173" s="354">
        <f>'Land Use Chart'!H75</f>
        <v>0.3</v>
      </c>
      <c r="BB173" s="263" t="str">
        <f>'Land Use Chart'!G75</f>
        <v>n/a</v>
      </c>
      <c r="BC173" s="220" t="s">
        <v>38</v>
      </c>
      <c r="BD173" s="220">
        <v>0</v>
      </c>
      <c r="BE173" s="220">
        <v>0</v>
      </c>
      <c r="BF173" s="263">
        <f>'Land Use Chart'!J75</f>
        <v>1.31</v>
      </c>
      <c r="BG173" s="245" t="str">
        <f>'Land Use Chart'!A75</f>
        <v>Department Store</v>
      </c>
      <c r="BH173" s="253" t="str">
        <f>'Land Use Chart'!C75</f>
        <v>1,000 SF GFA</v>
      </c>
      <c r="BI173" s="355">
        <f>'Land Use Chart'!I75</f>
        <v>0.41</v>
      </c>
      <c r="BL173" s="245" t="str">
        <f>'Land Use Chart'!A75</f>
        <v>Department Store</v>
      </c>
      <c r="BM173" s="354">
        <f>'Land Use Chart'!H75</f>
        <v>0.3</v>
      </c>
      <c r="BN173" s="263" t="str">
        <f>'Land Use Chart'!F75</f>
        <v>n/a</v>
      </c>
      <c r="BO173" s="220" t="s">
        <v>38</v>
      </c>
      <c r="BP173" s="263">
        <v>0</v>
      </c>
      <c r="BQ173" s="263">
        <v>0</v>
      </c>
    </row>
    <row r="174" spans="23:69" ht="24.75" customHeight="1" hidden="1">
      <c r="W174" s="218">
        <v>70</v>
      </c>
      <c r="X174" s="245"/>
      <c r="Y174" s="253"/>
      <c r="Z174" s="356"/>
      <c r="AA174" s="356"/>
      <c r="AY174" s="218">
        <v>75</v>
      </c>
      <c r="AZ174" s="245" t="str">
        <f>'Land Use Chart'!A76</f>
        <v>Video Rental Store</v>
      </c>
      <c r="BA174" s="354">
        <f>'Land Use Chart'!H76</f>
        <v>0.5</v>
      </c>
      <c r="BB174" s="263" t="str">
        <f>'Land Use Chart'!G76</f>
        <v>Ln(T) = 0.93 Ln(X) + 2.61</v>
      </c>
      <c r="BC174" s="220" t="s">
        <v>243</v>
      </c>
      <c r="BD174" s="220">
        <v>0.93</v>
      </c>
      <c r="BE174" s="220">
        <v>2.61</v>
      </c>
      <c r="BF174" s="263">
        <f>'Land Use Chart'!J76</f>
        <v>6.8</v>
      </c>
      <c r="BG174" s="245" t="str">
        <f>'Land Use Chart'!A76</f>
        <v>Video Rental Store</v>
      </c>
      <c r="BH174" s="253" t="str">
        <f>'Land Use Chart'!C76</f>
        <v>1,000 SF GFA</v>
      </c>
      <c r="BI174" s="355">
        <f>'Land Use Chart'!I76</f>
        <v>0</v>
      </c>
      <c r="BL174" s="245" t="str">
        <f>'Land Use Chart'!A76</f>
        <v>Video Rental Store</v>
      </c>
      <c r="BM174" s="354">
        <f>'Land Use Chart'!H76</f>
        <v>0.5</v>
      </c>
      <c r="BN174" s="263" t="str">
        <f>'Land Use Chart'!F76</f>
        <v>n/a</v>
      </c>
      <c r="BO174" s="220" t="s">
        <v>38</v>
      </c>
      <c r="BP174" s="263">
        <v>0</v>
      </c>
      <c r="BQ174" s="263">
        <v>0</v>
      </c>
    </row>
    <row r="175" spans="23:69" ht="24.75" customHeight="1" hidden="1">
      <c r="W175" s="218">
        <v>71</v>
      </c>
      <c r="X175" s="245"/>
      <c r="Y175" s="253"/>
      <c r="Z175" s="356"/>
      <c r="AA175" s="356"/>
      <c r="AY175" s="218">
        <v>76</v>
      </c>
      <c r="AZ175" s="254" t="str">
        <f>'Land Use Chart'!A77</f>
        <v>SERVICES</v>
      </c>
      <c r="BA175" s="354">
        <f>'Land Use Chart'!H77</f>
        <v>0</v>
      </c>
      <c r="BB175" s="263"/>
      <c r="BF175" s="263"/>
      <c r="BG175" s="245" t="str">
        <f>'Land Use Chart'!A77</f>
        <v>SERVICES</v>
      </c>
      <c r="BH175" s="253">
        <f>'Land Use Chart'!C77</f>
        <v>0</v>
      </c>
      <c r="BI175" s="355">
        <f>'Land Use Chart'!I77</f>
        <v>0</v>
      </c>
      <c r="BL175" s="254" t="str">
        <f>'Land Use Chart'!A77</f>
        <v>SERVICES</v>
      </c>
      <c r="BM175" s="354">
        <f>'Land Use Chart'!H77</f>
        <v>0</v>
      </c>
      <c r="BN175" s="263">
        <f>'Land Use Chart'!F77</f>
        <v>0</v>
      </c>
      <c r="BO175" s="220"/>
      <c r="BP175" s="263"/>
      <c r="BQ175" s="263"/>
    </row>
    <row r="176" spans="23:69" ht="24.75" customHeight="1" hidden="1">
      <c r="W176" s="218">
        <v>72</v>
      </c>
      <c r="X176" s="245"/>
      <c r="Y176" s="253"/>
      <c r="Z176" s="356"/>
      <c r="AA176" s="356"/>
      <c r="AY176" s="218">
        <v>77</v>
      </c>
      <c r="AZ176" s="245" t="str">
        <f>'Land Use Chart'!A78</f>
        <v>Bank (Walk-In)</v>
      </c>
      <c r="BA176" s="354">
        <f>'Land Use Chart'!H78</f>
        <v>0.4</v>
      </c>
      <c r="BB176" s="263" t="str">
        <f>'Land Use Chart'!G78</f>
        <v>n/a</v>
      </c>
      <c r="BC176" s="220" t="s">
        <v>38</v>
      </c>
      <c r="BD176" s="220">
        <v>0</v>
      </c>
      <c r="BE176" s="220">
        <v>0</v>
      </c>
      <c r="BF176" s="263">
        <f>'Land Use Chart'!J78</f>
        <v>7.28</v>
      </c>
      <c r="BG176" s="245" t="str">
        <f>'Land Use Chart'!A78</f>
        <v>Bank (Walk-In)</v>
      </c>
      <c r="BH176" s="253" t="str">
        <f>'Land Use Chart'!C78</f>
        <v>1,000 SF GFA</v>
      </c>
      <c r="BI176" s="355">
        <f>'Land Use Chart'!I78</f>
        <v>0</v>
      </c>
      <c r="BL176" s="245" t="str">
        <f>'Land Use Chart'!A78</f>
        <v>Bank (Walk-In)</v>
      </c>
      <c r="BM176" s="354">
        <f>'Land Use Chart'!H78</f>
        <v>0.4</v>
      </c>
      <c r="BN176" s="263" t="str">
        <f>'Land Use Chart'!F78</f>
        <v>n/a</v>
      </c>
      <c r="BO176" s="220" t="s">
        <v>38</v>
      </c>
      <c r="BP176" s="263">
        <v>0</v>
      </c>
      <c r="BQ176" s="263">
        <v>0</v>
      </c>
    </row>
    <row r="177" spans="23:69" ht="24.75" customHeight="1" hidden="1">
      <c r="W177" s="218">
        <v>73</v>
      </c>
      <c r="X177" s="245"/>
      <c r="Y177" s="253"/>
      <c r="Z177" s="356"/>
      <c r="AA177" s="356"/>
      <c r="AY177" s="218">
        <v>78</v>
      </c>
      <c r="AZ177" s="245" t="str">
        <f>'Land Use Chart'!A79</f>
        <v>Bank (Drive-In)</v>
      </c>
      <c r="BA177" s="354">
        <f>'Land Use Chart'!H79</f>
        <v>0.47</v>
      </c>
      <c r="BB177" s="263" t="str">
        <f>'Land Use Chart'!G79</f>
        <v>n/a</v>
      </c>
      <c r="BC177" s="220" t="s">
        <v>38</v>
      </c>
      <c r="BD177" s="220">
        <v>0</v>
      </c>
      <c r="BE177" s="220">
        <v>0</v>
      </c>
      <c r="BF177" s="263">
        <f>'Land Use Chart'!J79</f>
        <v>17.62</v>
      </c>
      <c r="BG177" s="245" t="str">
        <f>'Land Use Chart'!A79</f>
        <v>Bank (Drive-In)</v>
      </c>
      <c r="BH177" s="253" t="str">
        <f>'Land Use Chart'!C79</f>
        <v>Drive-In Lanes</v>
      </c>
      <c r="BI177" s="355">
        <f>'Land Use Chart'!I79</f>
        <v>4.92</v>
      </c>
      <c r="BL177" s="245" t="str">
        <f>'Land Use Chart'!A79</f>
        <v>Bank (Drive-In)</v>
      </c>
      <c r="BM177" s="354">
        <f>'Land Use Chart'!H79</f>
        <v>0.47</v>
      </c>
      <c r="BN177" s="263" t="str">
        <f>'Land Use Chart'!F79</f>
        <v>n/a</v>
      </c>
      <c r="BO177" s="220" t="s">
        <v>38</v>
      </c>
      <c r="BP177" s="263">
        <v>0</v>
      </c>
      <c r="BQ177" s="263">
        <v>0</v>
      </c>
    </row>
    <row r="178" spans="23:69" ht="24.75" customHeight="1" hidden="1">
      <c r="W178" s="218">
        <v>74</v>
      </c>
      <c r="X178" s="254"/>
      <c r="Y178" s="253"/>
      <c r="Z178" s="356"/>
      <c r="AA178" s="356"/>
      <c r="AY178" s="218">
        <v>79</v>
      </c>
      <c r="AZ178" s="245" t="str">
        <f>'Land Use Chart'!A80</f>
        <v>Hair Salon</v>
      </c>
      <c r="BA178" s="354">
        <f>'Land Use Chart'!H80</f>
        <v>0.3</v>
      </c>
      <c r="BB178" s="263" t="str">
        <f>'Land Use Chart'!G80</f>
        <v>n/a</v>
      </c>
      <c r="BC178" s="220" t="s">
        <v>38</v>
      </c>
      <c r="BD178" s="220">
        <v>0</v>
      </c>
      <c r="BE178" s="220">
        <v>0</v>
      </c>
      <c r="BF178" s="263">
        <f>'Land Use Chart'!J80</f>
        <v>1.02</v>
      </c>
      <c r="BG178" s="245" t="str">
        <f>'Land Use Chart'!A80</f>
        <v>Hair Salon</v>
      </c>
      <c r="BH178" s="253" t="str">
        <f>'Land Use Chart'!C80</f>
        <v>1,000 SF GLA</v>
      </c>
      <c r="BI178" s="355">
        <f>'Land Use Chart'!I80</f>
        <v>0.85</v>
      </c>
      <c r="BL178" s="245" t="str">
        <f>'Land Use Chart'!A80</f>
        <v>Hair Salon</v>
      </c>
      <c r="BM178" s="354">
        <f>'Land Use Chart'!H80</f>
        <v>0.3</v>
      </c>
      <c r="BN178" s="263" t="str">
        <f>'Land Use Chart'!F80</f>
        <v>n/a</v>
      </c>
      <c r="BO178" s="220" t="s">
        <v>38</v>
      </c>
      <c r="BP178" s="263">
        <v>0</v>
      </c>
      <c r="BQ178" s="263">
        <v>0</v>
      </c>
    </row>
    <row r="179" spans="23:66" ht="24.75" customHeight="1" hidden="1">
      <c r="W179" s="218">
        <v>75</v>
      </c>
      <c r="X179" s="245"/>
      <c r="Y179" s="253"/>
      <c r="Z179" s="356"/>
      <c r="AA179" s="356"/>
      <c r="AZ179" s="254"/>
      <c r="BF179" s="263"/>
      <c r="BG179" s="245"/>
      <c r="BH179" s="253"/>
      <c r="BI179" s="355"/>
      <c r="BL179" s="245"/>
      <c r="BM179" s="363"/>
      <c r="BN179" s="263"/>
    </row>
    <row r="180" spans="23:67" ht="24.75" customHeight="1" hidden="1">
      <c r="W180" s="218">
        <v>76</v>
      </c>
      <c r="X180" s="245"/>
      <c r="Y180" s="253"/>
      <c r="Z180" s="356"/>
      <c r="AA180" s="356"/>
      <c r="BO180" s="220"/>
    </row>
    <row r="181" spans="23:27" ht="24.75" customHeight="1" hidden="1">
      <c r="W181" s="218">
        <v>77</v>
      </c>
      <c r="X181" s="245"/>
      <c r="Y181" s="253"/>
      <c r="Z181" s="356"/>
      <c r="AA181" s="356"/>
    </row>
    <row r="182" ht="24.75" customHeight="1" hidden="1">
      <c r="X182" s="254"/>
    </row>
    <row r="183" ht="24.75" customHeight="1" hidden="1">
      <c r="X183" s="254"/>
    </row>
    <row r="184" ht="24.75" customHeight="1" hidden="1"/>
    <row r="185" ht="24.75" customHeight="1" hidden="1"/>
    <row r="186" ht="24.75" customHeight="1" hidden="1"/>
    <row r="187" ht="24.75" customHeight="1" hidden="1"/>
    <row r="188" ht="24.75" customHeight="1" hidden="1"/>
    <row r="189" ht="24.75" customHeight="1" hidden="1"/>
    <row r="190" ht="24.75" customHeight="1" hidden="1"/>
    <row r="191" ht="24.75" customHeight="1" hidden="1"/>
    <row r="192" ht="24.75" customHeight="1" hidden="1"/>
    <row r="193" ht="24.75" customHeight="1" hidden="1"/>
    <row r="194" ht="24.75" customHeight="1" hidden="1"/>
    <row r="195" ht="24.75" customHeight="1" hidden="1"/>
    <row r="196" ht="24.75" customHeight="1" hidden="1"/>
    <row r="197" ht="24.75" customHeight="1" hidden="1"/>
    <row r="198" ht="24.75" customHeight="1" hidden="1"/>
    <row r="199" ht="24.75" customHeight="1" hidden="1"/>
    <row r="200" ht="24.75" customHeight="1" hidden="1"/>
    <row r="201" ht="24.75" customHeight="1" hidden="1"/>
    <row r="202" ht="24.75" customHeight="1" hidden="1"/>
    <row r="203" ht="24.75" customHeight="1" hidden="1"/>
    <row r="204" ht="24.75" customHeight="1" hidden="1"/>
    <row r="205" ht="9.75" customHeight="1" hidden="1"/>
    <row r="206" ht="24.75" customHeight="1" hidden="1"/>
    <row r="207" ht="24.75" customHeight="1" hidden="1"/>
    <row r="208" ht="24.75" customHeight="1" hidden="1"/>
    <row r="209" ht="24.75" customHeight="1" hidden="1"/>
    <row r="210" ht="24.75" customHeight="1" hidden="1"/>
    <row r="211" ht="24.75" customHeight="1" hidden="1"/>
    <row r="212" ht="24.75" customHeight="1" hidden="1"/>
    <row r="213" ht="24.75" customHeight="1" hidden="1"/>
    <row r="214" ht="0" customHeight="1" hidden="1"/>
    <row r="215" ht="0" customHeight="1" hidden="1"/>
    <row r="216" ht="0" customHeight="1" hidden="1"/>
    <row r="217" ht="0" customHeight="1" hidden="1"/>
    <row r="218" ht="0" customHeight="1" hidden="1"/>
    <row r="219" ht="0" customHeight="1" hidden="1"/>
    <row r="220" ht="0" customHeight="1" hidden="1"/>
    <row r="221" ht="0" customHeight="1" hidden="1"/>
    <row r="222" ht="0" customHeight="1" hidden="1"/>
    <row r="223" ht="0" customHeight="1" hidden="1"/>
    <row r="224" ht="0" customHeight="1" hidden="1"/>
    <row r="225" ht="0" customHeight="1" hidden="1"/>
    <row r="226" ht="0" customHeight="1" hidden="1"/>
    <row r="227" ht="0" customHeight="1" hidden="1"/>
    <row r="228" ht="0" customHeight="1" hidden="1"/>
    <row r="229" ht="0" customHeight="1" hidden="1"/>
    <row r="230" ht="0" customHeight="1" hidden="1"/>
    <row r="231" ht="0" customHeight="1" hidden="1"/>
    <row r="232" ht="0" customHeight="1" hidden="1"/>
    <row r="233" ht="0" customHeight="1" hidden="1"/>
    <row r="234" ht="0" customHeight="1" hidden="1"/>
    <row r="235" ht="0" customHeight="1" hidden="1"/>
    <row r="236" ht="0" customHeight="1" hidden="1"/>
    <row r="237" ht="0" customHeight="1" hidden="1"/>
    <row r="238" ht="0" customHeight="1" hidden="1"/>
    <row r="239" ht="0" customHeight="1" hidden="1"/>
    <row r="240" ht="0" customHeight="1" hidden="1"/>
    <row r="241" ht="0" customHeight="1" hidden="1"/>
    <row r="242" ht="0" customHeight="1" hidden="1"/>
    <row r="243" ht="0" customHeight="1" hidden="1"/>
    <row r="244" ht="0" customHeight="1" hidden="1"/>
    <row r="245" ht="0" customHeight="1" hidden="1"/>
    <row r="246" ht="0" customHeight="1" hidden="1"/>
    <row r="247" ht="0" customHeight="1" hidden="1"/>
    <row r="248" ht="0" customHeight="1" hidden="1"/>
    <row r="249" ht="0" customHeight="1" hidden="1"/>
    <row r="250" ht="0" customHeight="1" hidden="1"/>
    <row r="251" ht="0" customHeight="1" hidden="1"/>
    <row r="252" ht="0" customHeight="1" hidden="1"/>
    <row r="253" ht="0" customHeight="1" hidden="1"/>
    <row r="254" ht="0" customHeight="1" hidden="1"/>
    <row r="255" ht="0" customHeight="1" hidden="1"/>
    <row r="256" ht="0" customHeight="1" hidden="1"/>
    <row r="257" ht="0" customHeight="1" hidden="1"/>
    <row r="258" ht="0" customHeight="1" hidden="1"/>
    <row r="259" ht="0" customHeight="1" hidden="1"/>
    <row r="260" ht="0" customHeight="1" hidden="1"/>
    <row r="261" ht="0" customHeight="1" hidden="1"/>
    <row r="262" ht="0" customHeight="1" hidden="1"/>
    <row r="263" ht="0" customHeight="1" hidden="1"/>
    <row r="264" ht="0" customHeight="1" hidden="1"/>
    <row r="265" ht="0" customHeight="1" hidden="1"/>
    <row r="266" ht="0" customHeight="1" hidden="1"/>
    <row r="267" ht="0" customHeight="1" hidden="1"/>
    <row r="268" ht="0" customHeight="1" hidden="1"/>
    <row r="269" ht="0" customHeight="1" hidden="1"/>
    <row r="270" ht="0" customHeight="1" hidden="1"/>
    <row r="271" ht="0" customHeight="1" hidden="1"/>
    <row r="272" ht="0" customHeight="1" hidden="1"/>
    <row r="273" ht="0" customHeight="1" hidden="1"/>
    <row r="274" ht="0" customHeight="1" hidden="1"/>
    <row r="275" ht="0" customHeight="1" hidden="1"/>
    <row r="276" ht="0" customHeight="1" hidden="1"/>
    <row r="277" ht="0" customHeight="1" hidden="1"/>
    <row r="278" ht="0" customHeight="1" hidden="1"/>
    <row r="279" ht="0" customHeight="1" hidden="1"/>
    <row r="280" ht="0" customHeight="1" hidden="1"/>
    <row r="281" ht="0" customHeight="1" hidden="1"/>
    <row r="282" ht="0" customHeight="1" hidden="1"/>
    <row r="283" ht="0" customHeight="1" hidden="1"/>
    <row r="284" ht="0" customHeight="1" hidden="1"/>
    <row r="285" ht="0" customHeight="1" hidden="1"/>
    <row r="286" ht="0" customHeight="1" hidden="1"/>
    <row r="287" ht="0" customHeight="1" hidden="1"/>
    <row r="288" ht="0" customHeight="1" hidden="1"/>
    <row r="289" ht="0" customHeight="1" hidden="1"/>
    <row r="290" ht="0" customHeight="1" hidden="1"/>
    <row r="291" ht="0" customHeight="1" hidden="1"/>
    <row r="292" ht="0" customHeight="1" hidden="1"/>
    <row r="293" ht="0" customHeight="1" hidden="1"/>
    <row r="294" ht="0" customHeight="1" hidden="1"/>
    <row r="295" ht="0" customHeight="1" hidden="1"/>
    <row r="296" ht="0" customHeight="1" hidden="1"/>
    <row r="297" ht="0" customHeight="1" hidden="1"/>
    <row r="298" ht="0" customHeight="1" hidden="1"/>
    <row r="299" ht="0" customHeight="1" hidden="1"/>
    <row r="300" ht="0" customHeight="1" hidden="1"/>
    <row r="301" ht="0" customHeight="1" hidden="1"/>
    <row r="302" ht="0" customHeight="1" hidden="1"/>
    <row r="303" ht="0" customHeight="1" hidden="1"/>
    <row r="304" ht="0" customHeight="1" hidden="1"/>
    <row r="305" ht="0" customHeight="1" hidden="1"/>
    <row r="306" ht="0" customHeight="1" hidden="1"/>
    <row r="307" ht="0" customHeight="1" hidden="1"/>
    <row r="308" ht="0" customHeight="1" hidden="1"/>
    <row r="309" ht="0" customHeight="1" hidden="1"/>
    <row r="310" ht="0" customHeight="1" hidden="1"/>
    <row r="311" ht="0" customHeight="1" hidden="1"/>
    <row r="312" ht="0" customHeight="1" hidden="1"/>
    <row r="313" ht="0" customHeight="1" hidden="1"/>
    <row r="314" ht="0" customHeight="1" hidden="1"/>
    <row r="315" ht="0" customHeight="1" hidden="1"/>
    <row r="316" ht="0" customHeight="1" hidden="1"/>
    <row r="317" ht="0" customHeight="1" hidden="1"/>
    <row r="318" ht="0" customHeight="1" hidden="1"/>
    <row r="319" ht="0" customHeight="1" hidden="1"/>
    <row r="320" ht="0" customHeight="1" hidden="1"/>
    <row r="321" ht="0" customHeight="1" hidden="1"/>
    <row r="322" ht="0" customHeight="1" hidden="1"/>
    <row r="323" ht="0" customHeight="1" hidden="1"/>
    <row r="324" ht="0" customHeight="1" hidden="1"/>
    <row r="325" ht="0" customHeight="1" hidden="1"/>
    <row r="326" ht="0" customHeight="1" hidden="1"/>
    <row r="327" ht="0" customHeight="1" hidden="1"/>
    <row r="328" ht="0" customHeight="1" hidden="1"/>
    <row r="329" ht="0" customHeight="1" hidden="1"/>
    <row r="330" ht="0" customHeight="1" hidden="1"/>
    <row r="331" ht="0" customHeight="1" hidden="1"/>
    <row r="332" ht="0" customHeight="1" hidden="1"/>
    <row r="333" ht="0" customHeight="1" hidden="1"/>
    <row r="334" ht="0" customHeight="1" hidden="1"/>
    <row r="335" ht="0" customHeight="1" hidden="1"/>
    <row r="336" ht="0" customHeight="1" hidden="1"/>
    <row r="337" ht="0" customHeight="1" hidden="1"/>
    <row r="338" ht="0" customHeight="1" hidden="1"/>
    <row r="339" ht="0" customHeight="1" hidden="1"/>
    <row r="340" ht="0" customHeight="1" hidden="1"/>
    <row r="341" ht="0" customHeight="1" hidden="1"/>
    <row r="342" ht="0" customHeight="1" hidden="1"/>
    <row r="343" ht="0" customHeight="1" hidden="1"/>
    <row r="344" ht="0" customHeight="1" hidden="1"/>
    <row r="345" ht="0" customHeight="1" hidden="1"/>
    <row r="346" ht="0" customHeight="1" hidden="1"/>
    <row r="347" ht="0" customHeight="1" hidden="1"/>
    <row r="348" ht="0" customHeight="1" hidden="1"/>
    <row r="349" ht="0" customHeight="1" hidden="1"/>
    <row r="350" ht="0" customHeight="1" hidden="1"/>
    <row r="351" ht="0" customHeight="1" hidden="1"/>
    <row r="352" ht="0" customHeight="1" hidden="1"/>
    <row r="353" ht="0" customHeight="1" hidden="1"/>
    <row r="354" ht="0" customHeight="1" hidden="1"/>
    <row r="355" ht="0" customHeight="1" hidden="1"/>
    <row r="356" ht="0" customHeight="1" hidden="1"/>
    <row r="357" ht="0" customHeight="1" hidden="1"/>
    <row r="358" ht="0" customHeight="1" hidden="1"/>
    <row r="359" ht="0" customHeight="1" hidden="1"/>
    <row r="360" ht="0" customHeight="1" hidden="1"/>
    <row r="361" ht="0" customHeight="1" hidden="1"/>
    <row r="362" ht="0" customHeight="1" hidden="1"/>
    <row r="363" ht="0" customHeight="1" hidden="1"/>
    <row r="364" ht="0" customHeight="1" hidden="1"/>
    <row r="365" ht="0" customHeight="1" hidden="1"/>
    <row r="366" ht="0" customHeight="1" hidden="1"/>
    <row r="367" ht="0" customHeight="1" hidden="1"/>
    <row r="368" ht="0" customHeight="1" hidden="1"/>
    <row r="369" ht="0" customHeight="1" hidden="1"/>
    <row r="370" ht="0" customHeight="1" hidden="1"/>
    <row r="371" ht="0" customHeight="1" hidden="1"/>
    <row r="372" ht="0" customHeight="1" hidden="1"/>
    <row r="373" ht="0" customHeight="1" hidden="1"/>
    <row r="374" ht="0" customHeight="1" hidden="1"/>
    <row r="375" ht="0" customHeight="1" hidden="1"/>
    <row r="376" ht="0" customHeight="1" hidden="1"/>
    <row r="377" ht="0" customHeight="1" hidden="1"/>
    <row r="378" ht="0" customHeight="1" hidden="1"/>
    <row r="379" ht="0" customHeight="1" hidden="1"/>
    <row r="380" ht="0" customHeight="1" hidden="1"/>
    <row r="381" ht="0" customHeight="1" hidden="1"/>
    <row r="382" ht="0" customHeight="1" hidden="1"/>
    <row r="383" ht="0" customHeight="1" hidden="1"/>
    <row r="384" ht="0" customHeight="1" hidden="1"/>
    <row r="385" ht="0" customHeight="1" hidden="1"/>
    <row r="386" ht="0" customHeight="1" hidden="1"/>
    <row r="387" ht="0" customHeight="1" hidden="1"/>
    <row r="388" ht="0" customHeight="1" hidden="1"/>
    <row r="389" ht="0" customHeight="1" hidden="1"/>
    <row r="390" ht="0" customHeight="1" hidden="1"/>
    <row r="391" ht="0" customHeight="1" hidden="1"/>
    <row r="392" ht="0" customHeight="1" hidden="1"/>
    <row r="393" ht="0" customHeight="1" hidden="1"/>
    <row r="394" ht="0" customHeight="1" hidden="1"/>
    <row r="395" ht="0" customHeight="1" hidden="1"/>
    <row r="396" ht="0" customHeight="1" hidden="1"/>
    <row r="397" ht="0" customHeight="1" hidden="1"/>
    <row r="398" ht="0" customHeight="1" hidden="1"/>
    <row r="399" ht="0" customHeight="1" hidden="1"/>
    <row r="400" ht="0" customHeight="1" hidden="1"/>
    <row r="401" ht="0" customHeight="1" hidden="1"/>
    <row r="402" ht="0" customHeight="1" hidden="1"/>
    <row r="403" ht="0" customHeight="1" hidden="1"/>
    <row r="404" ht="0" customHeight="1" hidden="1"/>
    <row r="405" ht="0" customHeight="1" hidden="1"/>
    <row r="406" ht="0" customHeight="1" hidden="1"/>
    <row r="407" ht="0" customHeight="1" hidden="1"/>
    <row r="408" ht="0" customHeight="1" hidden="1"/>
    <row r="409" ht="0" customHeight="1" hidden="1"/>
    <row r="410" ht="0" customHeight="1" hidden="1"/>
    <row r="411" ht="0" customHeight="1" hidden="1"/>
    <row r="412" ht="0" customHeight="1" hidden="1"/>
    <row r="413" ht="0" customHeight="1" hidden="1"/>
    <row r="414" ht="0" customHeight="1" hidden="1"/>
    <row r="415" ht="0" customHeight="1" hidden="1"/>
    <row r="416" ht="0" customHeight="1" hidden="1"/>
    <row r="417" ht="0" customHeight="1" hidden="1"/>
    <row r="418" ht="0" customHeight="1" hidden="1"/>
    <row r="419" ht="0" customHeight="1" hidden="1"/>
    <row r="420" ht="0" customHeight="1" hidden="1"/>
    <row r="421" ht="0" customHeight="1" hidden="1"/>
    <row r="422" ht="0" customHeight="1" hidden="1"/>
    <row r="423" ht="0" customHeight="1" hidden="1"/>
    <row r="424" ht="0" customHeight="1" hidden="1"/>
    <row r="425" ht="0" customHeight="1" hidden="1"/>
    <row r="426" ht="0" customHeight="1" hidden="1"/>
    <row r="427" ht="0" customHeight="1" hidden="1"/>
    <row r="428" ht="0" customHeight="1" hidden="1"/>
    <row r="429" ht="0" customHeight="1" hidden="1"/>
    <row r="430" ht="0" customHeight="1" hidden="1"/>
    <row r="431" ht="0" customHeight="1" hidden="1"/>
    <row r="432" ht="0" customHeight="1" hidden="1"/>
    <row r="433" ht="0" customHeight="1" hidden="1"/>
    <row r="434" ht="0" customHeight="1" hidden="1"/>
    <row r="435" ht="0" customHeight="1" hidden="1"/>
    <row r="436" ht="0" customHeight="1" hidden="1"/>
    <row r="437" ht="0" customHeight="1" hidden="1"/>
    <row r="438" ht="0" customHeight="1" hidden="1"/>
    <row r="439" ht="0" customHeight="1" hidden="1"/>
    <row r="440" ht="0" customHeight="1" hidden="1"/>
    <row r="441" ht="0" customHeight="1" hidden="1"/>
    <row r="442" ht="0" customHeight="1" hidden="1"/>
    <row r="443" ht="0" customHeight="1" hidden="1"/>
    <row r="444" ht="0" customHeight="1" hidden="1"/>
    <row r="445" ht="0" customHeight="1" hidden="1"/>
    <row r="446" ht="0" customHeight="1" hidden="1"/>
    <row r="447" ht="0" customHeight="1" hidden="1"/>
    <row r="448" ht="0" customHeight="1" hidden="1"/>
    <row r="449" ht="0" customHeight="1" hidden="1"/>
    <row r="450" ht="0" customHeight="1" hidden="1"/>
    <row r="451" ht="0" customHeight="1" hidden="1"/>
    <row r="452" ht="0" customHeight="1" hidden="1"/>
    <row r="453" ht="0" customHeight="1" hidden="1"/>
    <row r="454" ht="0" customHeight="1" hidden="1"/>
    <row r="455" ht="0" customHeight="1" hidden="1"/>
    <row r="456" ht="0" customHeight="1" hidden="1"/>
    <row r="457" ht="0" customHeight="1" hidden="1"/>
    <row r="458" ht="0" customHeight="1" hidden="1"/>
    <row r="459" ht="0" customHeight="1" hidden="1"/>
    <row r="460" ht="0" customHeight="1" hidden="1"/>
    <row r="461" ht="0" customHeight="1" hidden="1"/>
    <row r="462" ht="0" customHeight="1" hidden="1"/>
    <row r="463" ht="0" customHeight="1" hidden="1"/>
    <row r="464" ht="0" customHeight="1" hidden="1"/>
    <row r="465" ht="0" customHeight="1" hidden="1"/>
    <row r="466" ht="0" customHeight="1" hidden="1"/>
    <row r="467" ht="0" customHeight="1" hidden="1"/>
    <row r="468" ht="0" customHeight="1" hidden="1"/>
    <row r="469" ht="0" customHeight="1" hidden="1"/>
    <row r="470" ht="0" customHeight="1" hidden="1"/>
    <row r="471" ht="0" customHeight="1" hidden="1"/>
    <row r="472" ht="0" customHeight="1" hidden="1"/>
    <row r="473" ht="0" customHeight="1" hidden="1"/>
    <row r="474" ht="0" customHeight="1" hidden="1"/>
    <row r="475" ht="0" customHeight="1" hidden="1"/>
    <row r="476" ht="0" customHeight="1" hidden="1"/>
    <row r="477" ht="0" customHeight="1" hidden="1"/>
    <row r="478" ht="0" customHeight="1" hidden="1"/>
    <row r="479" ht="0" customHeight="1" hidden="1"/>
    <row r="480" ht="0" customHeight="1" hidden="1"/>
    <row r="481" ht="0" customHeight="1" hidden="1"/>
    <row r="482" ht="0" customHeight="1" hidden="1"/>
    <row r="483" ht="0" customHeight="1" hidden="1"/>
    <row r="484" ht="0" customHeight="1" hidden="1"/>
    <row r="485" ht="0" customHeight="1" hidden="1"/>
    <row r="486" ht="0" customHeight="1" hidden="1"/>
    <row r="487" ht="0" customHeight="1" hidden="1"/>
    <row r="488" ht="0" customHeight="1" hidden="1"/>
    <row r="489" ht="0" customHeight="1" hidden="1"/>
    <row r="490" ht="0" customHeight="1" hidden="1"/>
    <row r="491" ht="0" customHeight="1" hidden="1"/>
    <row r="492" ht="0" customHeight="1" hidden="1"/>
    <row r="493" ht="0" customHeight="1" hidden="1"/>
    <row r="494" ht="0" customHeight="1" hidden="1"/>
    <row r="495" ht="0" customHeight="1" hidden="1"/>
    <row r="496" ht="0" customHeight="1" hidden="1"/>
    <row r="497" ht="0" customHeight="1" hidden="1"/>
    <row r="498" ht="0" customHeight="1" hidden="1"/>
    <row r="499" ht="0" customHeight="1" hidden="1"/>
    <row r="500" ht="0" customHeight="1" hidden="1"/>
    <row r="501" ht="0" customHeight="1" hidden="1"/>
    <row r="502" ht="0" customHeight="1" hidden="1"/>
    <row r="503" ht="0" customHeight="1" hidden="1"/>
    <row r="504" ht="0" customHeight="1" hidden="1"/>
    <row r="505" ht="9.75" customHeight="1" hidden="1"/>
    <row r="506" ht="9.75" customHeight="1" hidden="1"/>
    <row r="507" ht="0" customHeight="1" hidden="1"/>
    <row r="508" ht="0" customHeight="1" hidden="1"/>
    <row r="509" ht="0" customHeight="1" hidden="1"/>
    <row r="510" ht="0" customHeight="1" hidden="1"/>
    <row r="511" ht="0" customHeight="1" hidden="1"/>
    <row r="512" ht="0" customHeight="1" hidden="1"/>
    <row r="513" ht="0" customHeight="1" hidden="1"/>
    <row r="514" ht="0" customHeight="1" hidden="1"/>
    <row r="515" ht="0" customHeight="1" hidden="1"/>
    <row r="516" ht="0" customHeight="1" hidden="1"/>
    <row r="517" ht="0" customHeight="1" hidden="1"/>
    <row r="518" ht="0" customHeight="1" hidden="1"/>
    <row r="519" ht="0" customHeight="1" hidden="1"/>
    <row r="520" ht="0" customHeight="1" hidden="1"/>
    <row r="521" ht="0" customHeight="1" hidden="1"/>
    <row r="522" ht="0" customHeight="1" hidden="1"/>
    <row r="523" ht="0" customHeight="1" hidden="1"/>
    <row r="524" ht="0" customHeight="1" hidden="1"/>
    <row r="525" ht="0" customHeight="1" hidden="1"/>
    <row r="526" ht="0" customHeight="1" hidden="1"/>
    <row r="527" ht="49.5" customHeight="1" hidden="1"/>
  </sheetData>
  <sheetProtection password="FFAE" sheet="1" objects="1" selectLockedCells="1"/>
  <mergeCells count="68">
    <mergeCell ref="D95:T99"/>
    <mergeCell ref="AZ99:BE99"/>
    <mergeCell ref="D78:T78"/>
    <mergeCell ref="L82:T82"/>
    <mergeCell ref="N83:P83"/>
    <mergeCell ref="N84:P84"/>
    <mergeCell ref="N85:P85"/>
    <mergeCell ref="D87:T89"/>
    <mergeCell ref="J70:R70"/>
    <mergeCell ref="D71:H71"/>
    <mergeCell ref="J71:R71"/>
    <mergeCell ref="D72:H72"/>
    <mergeCell ref="J72:R72"/>
    <mergeCell ref="D70:H70"/>
    <mergeCell ref="D69:H69"/>
    <mergeCell ref="J69:R69"/>
    <mergeCell ref="D59:H59"/>
    <mergeCell ref="J59:R59"/>
    <mergeCell ref="D60:H60"/>
    <mergeCell ref="J60:R60"/>
    <mergeCell ref="D61:H61"/>
    <mergeCell ref="J61:R61"/>
    <mergeCell ref="D62:H62"/>
    <mergeCell ref="J62:R62"/>
    <mergeCell ref="P66:T66"/>
    <mergeCell ref="D68:H68"/>
    <mergeCell ref="J68:R68"/>
    <mergeCell ref="D51:H51"/>
    <mergeCell ref="J51:L51"/>
    <mergeCell ref="D52:H52"/>
    <mergeCell ref="J52:L52"/>
    <mergeCell ref="D58:H58"/>
    <mergeCell ref="J58:R58"/>
    <mergeCell ref="D48:H48"/>
    <mergeCell ref="J48:L48"/>
    <mergeCell ref="D49:H49"/>
    <mergeCell ref="J49:L49"/>
    <mergeCell ref="D50:H50"/>
    <mergeCell ref="J50:L50"/>
    <mergeCell ref="D28:P28"/>
    <mergeCell ref="D30:F30"/>
    <mergeCell ref="O41:Q41"/>
    <mergeCell ref="D42:T43"/>
    <mergeCell ref="O46:T46"/>
    <mergeCell ref="D29:F29"/>
    <mergeCell ref="D21:F21"/>
    <mergeCell ref="D22:F22"/>
    <mergeCell ref="D23:F23"/>
    <mergeCell ref="D24:F24"/>
    <mergeCell ref="D26:F26"/>
    <mergeCell ref="D25:F25"/>
    <mergeCell ref="D15:J17"/>
    <mergeCell ref="L16:N18"/>
    <mergeCell ref="R16:R18"/>
    <mergeCell ref="AE18:AE20"/>
    <mergeCell ref="AH18:AH20"/>
    <mergeCell ref="D8:H8"/>
    <mergeCell ref="J8:U8"/>
    <mergeCell ref="D9:H9"/>
    <mergeCell ref="J9:U9"/>
    <mergeCell ref="D10:H10"/>
    <mergeCell ref="J10:N10"/>
    <mergeCell ref="R10:U10"/>
    <mergeCell ref="B3:T3"/>
    <mergeCell ref="B4:T4"/>
    <mergeCell ref="B5:T5"/>
    <mergeCell ref="D7:H7"/>
    <mergeCell ref="J7:U7"/>
  </mergeCells>
  <conditionalFormatting sqref="L21:L26">
    <cfRule type="cellIs" priority="31" dxfId="32" operator="equal" stopIfTrue="1">
      <formula>"Select Method"</formula>
    </cfRule>
    <cfRule type="cellIs" priority="32" dxfId="61" operator="equal" stopIfTrue="1">
      <formula>"Use PM Peak"</formula>
    </cfRule>
  </conditionalFormatting>
  <conditionalFormatting sqref="T48">
    <cfRule type="cellIs" priority="48" dxfId="57" operator="notEqual" stopIfTrue="1">
      <formula>$R$48</formula>
    </cfRule>
  </conditionalFormatting>
  <conditionalFormatting sqref="T50">
    <cfRule type="cellIs" priority="49" dxfId="57" operator="notEqual" stopIfTrue="1">
      <formula>$R$50</formula>
    </cfRule>
  </conditionalFormatting>
  <conditionalFormatting sqref="T51">
    <cfRule type="cellIs" priority="50" dxfId="57" operator="notEqual" stopIfTrue="1">
      <formula>$R$51</formula>
    </cfRule>
  </conditionalFormatting>
  <conditionalFormatting sqref="T52">
    <cfRule type="cellIs" priority="51" dxfId="57" operator="notEqual" stopIfTrue="1">
      <formula>$R$52</formula>
    </cfRule>
  </conditionalFormatting>
  <conditionalFormatting sqref="J7:K7">
    <cfRule type="cellIs" priority="52" dxfId="52" operator="equal" stopIfTrue="1">
      <formula>"Insert Development Name"</formula>
    </cfRule>
  </conditionalFormatting>
  <conditionalFormatting sqref="J8:K8">
    <cfRule type="cellIs" priority="53" dxfId="52" operator="equal" stopIfTrue="1">
      <formula>"Insert Applicant Name"</formula>
    </cfRule>
  </conditionalFormatting>
  <conditionalFormatting sqref="J9:K9">
    <cfRule type="cellIs" priority="54" dxfId="52" operator="equal" stopIfTrue="1">
      <formula>"Insert Legal Description"</formula>
    </cfRule>
  </conditionalFormatting>
  <conditionalFormatting sqref="J10:N10">
    <cfRule type="cellIs" priority="55" dxfId="52" operator="equal" stopIfTrue="1">
      <formula>"Insert Case #"</formula>
    </cfRule>
  </conditionalFormatting>
  <conditionalFormatting sqref="R10">
    <cfRule type="cellIs" priority="56" dxfId="52" operator="equal" stopIfTrue="1">
      <formula>"Insert Date"</formula>
    </cfRule>
  </conditionalFormatting>
  <conditionalFormatting sqref="P2117">
    <cfRule type="cellIs" priority="57" dxfId="51" operator="equal" stopIfTrue="1">
      <formula>"Check Trip Length"</formula>
    </cfRule>
  </conditionalFormatting>
  <conditionalFormatting sqref="O18 O16 S16 S18">
    <cfRule type="expression" priority="58" dxfId="0" stopIfTrue="1">
      <formula>"$Q$18=""X"","""""</formula>
    </cfRule>
  </conditionalFormatting>
  <conditionalFormatting sqref="R21:R26">
    <cfRule type="cellIs" priority="29" dxfId="2" operator="equal" stopIfTrue="1">
      <formula>"Enter Trip Length"</formula>
    </cfRule>
    <cfRule type="cellIs" priority="40" dxfId="2" operator="equal" stopIfTrue="1">
      <formula>"Check Trip Length"</formula>
    </cfRule>
    <cfRule type="cellIs" priority="46" dxfId="2" operator="equal" stopIfTrue="1">
      <formula>"Short Trip Length"</formula>
    </cfRule>
    <cfRule type="cellIs" priority="47" dxfId="2" operator="equal" stopIfTrue="1">
      <formula>"Long Trip Length"</formula>
    </cfRule>
  </conditionalFormatting>
  <conditionalFormatting sqref="L20">
    <cfRule type="cellIs" priority="44" dxfId="2" operator="equal" stopIfTrue="1">
      <formula>"Select Only One Peak Hour"</formula>
    </cfRule>
    <cfRule type="cellIs" priority="45" dxfId="2" operator="equal" stopIfTrue="1">
      <formula>"Select Peak Period"</formula>
    </cfRule>
  </conditionalFormatting>
  <conditionalFormatting sqref="L21:L26">
    <cfRule type="cellIs" priority="30" dxfId="2" operator="equal" stopIfTrue="1">
      <formula>"Select Peak"</formula>
    </cfRule>
  </conditionalFormatting>
  <conditionalFormatting sqref="L23">
    <cfRule type="expression" priority="39" dxfId="9" stopIfTrue="1">
      <formula>$AE$23="Negative - Use Linear"</formula>
    </cfRule>
    <cfRule type="expression" priority="41" dxfId="8" stopIfTrue="1">
      <formula>$AH$23="No Eq - Use Linear"</formula>
    </cfRule>
  </conditionalFormatting>
  <conditionalFormatting sqref="L24:L25">
    <cfRule type="expression" priority="34" dxfId="9" stopIfTrue="1">
      <formula>$AE$24="Negative - Use Linear"</formula>
    </cfRule>
    <cfRule type="expression" priority="35" dxfId="8" stopIfTrue="1">
      <formula>$AH$24="No Eq - Use Linear"</formula>
    </cfRule>
  </conditionalFormatting>
  <conditionalFormatting sqref="L26">
    <cfRule type="expression" priority="37" dxfId="9" stopIfTrue="1">
      <formula>$AE$26="Negative - Use Linear"</formula>
    </cfRule>
    <cfRule type="expression" priority="38" dxfId="8" stopIfTrue="1">
      <formula>$AH$26="No Eq - Use Linear"</formula>
    </cfRule>
  </conditionalFormatting>
  <conditionalFormatting sqref="L22">
    <cfRule type="expression" priority="42" dxfId="9" stopIfTrue="1">
      <formula>$AE22="Negative - Use Linear"</formula>
    </cfRule>
    <cfRule type="expression" priority="43" dxfId="8" stopIfTrue="1">
      <formula>$AH22="No Eq - Use Linear"</formula>
    </cfRule>
  </conditionalFormatting>
  <conditionalFormatting sqref="L21">
    <cfRule type="expression" priority="33" dxfId="9" stopIfTrue="1">
      <formula>$AE21="Negative - Use Linear"</formula>
    </cfRule>
    <cfRule type="expression" priority="36" dxfId="8" stopIfTrue="1">
      <formula>$AH21="No Eq - Use Linear"</formula>
    </cfRule>
  </conditionalFormatting>
  <conditionalFormatting sqref="M34:M38">
    <cfRule type="cellIs" priority="59" dxfId="32" operator="equal" stopIfTrue="1">
      <formula>"Select Method"</formula>
    </cfRule>
    <cfRule type="expression" priority="60" dxfId="31" stopIfTrue="1">
      <formula>$S$16="X"</formula>
    </cfRule>
    <cfRule type="expression" priority="61" dxfId="30" stopIfTrue="1">
      <formula>VLOOKUP(D34,$AZ$103:$BF$171,3,FALSE)="n/a"</formula>
    </cfRule>
  </conditionalFormatting>
  <conditionalFormatting sqref="R30">
    <cfRule type="cellIs" priority="25" dxfId="2" operator="equal" stopIfTrue="1">
      <formula>"Enter Trip Length"</formula>
    </cfRule>
    <cfRule type="cellIs" priority="26" dxfId="2" operator="equal" stopIfTrue="1">
      <formula>"Check Trip Length"</formula>
    </cfRule>
    <cfRule type="cellIs" priority="27" dxfId="2" operator="equal" stopIfTrue="1">
      <formula>"Short Trip Length"</formula>
    </cfRule>
    <cfRule type="cellIs" priority="28" dxfId="2" operator="equal" stopIfTrue="1">
      <formula>"Long Trip Length"</formula>
    </cfRule>
  </conditionalFormatting>
  <conditionalFormatting sqref="L22">
    <cfRule type="expression" priority="23" dxfId="9" stopIfTrue="1">
      <formula>$AE22="Negative - Use Linear"</formula>
    </cfRule>
    <cfRule type="expression" priority="24" dxfId="8" stopIfTrue="1">
      <formula>$AH22="No Eq - Use Linear"</formula>
    </cfRule>
  </conditionalFormatting>
  <conditionalFormatting sqref="L23">
    <cfRule type="expression" priority="21" dxfId="9" stopIfTrue="1">
      <formula>$AE23="Negative - Use Linear"</formula>
    </cfRule>
    <cfRule type="expression" priority="22" dxfId="8" stopIfTrue="1">
      <formula>$AH23="No Eq - Use Linear"</formula>
    </cfRule>
  </conditionalFormatting>
  <conditionalFormatting sqref="L24">
    <cfRule type="expression" priority="19" dxfId="9" stopIfTrue="1">
      <formula>$AE24="Negative - Use Linear"</formula>
    </cfRule>
    <cfRule type="expression" priority="20" dxfId="8" stopIfTrue="1">
      <formula>$AH24="No Eq - Use Linear"</formula>
    </cfRule>
  </conditionalFormatting>
  <conditionalFormatting sqref="L25">
    <cfRule type="expression" priority="17" dxfId="9" stopIfTrue="1">
      <formula>$AE25="Negative - Use Linear"</formula>
    </cfRule>
    <cfRule type="expression" priority="18" dxfId="8" stopIfTrue="1">
      <formula>$AH25="No Eq - Use Linear"</formula>
    </cfRule>
  </conditionalFormatting>
  <conditionalFormatting sqref="L26">
    <cfRule type="expression" priority="15" dxfId="9" stopIfTrue="1">
      <formula>$AE26="Negative - Use Linear"</formula>
    </cfRule>
    <cfRule type="expression" priority="16" dxfId="8" stopIfTrue="1">
      <formula>$AH26="No Eq - Use Linear"</formula>
    </cfRule>
  </conditionalFormatting>
  <conditionalFormatting sqref="R29">
    <cfRule type="cellIs" priority="11" dxfId="2" operator="equal" stopIfTrue="1">
      <formula>"Enter Trip Length"</formula>
    </cfRule>
    <cfRule type="cellIs" priority="12" dxfId="2" operator="equal" stopIfTrue="1">
      <formula>"Check Trip Length"</formula>
    </cfRule>
    <cfRule type="cellIs" priority="13" dxfId="2" operator="equal" stopIfTrue="1">
      <formula>"Short Trip Length"</formula>
    </cfRule>
    <cfRule type="cellIs" priority="14" dxfId="2" operator="equal" stopIfTrue="1">
      <formula>"Long Trip Length"</formula>
    </cfRule>
  </conditionalFormatting>
  <conditionalFormatting sqref="L26">
    <cfRule type="expression" priority="9" dxfId="9" stopIfTrue="1">
      <formula>$AE$24="Negative - Use Linear"</formula>
    </cfRule>
    <cfRule type="expression" priority="10" dxfId="8" stopIfTrue="1">
      <formula>$AH$24="No Eq - Use Linear"</formula>
    </cfRule>
  </conditionalFormatting>
  <conditionalFormatting sqref="L26">
    <cfRule type="expression" priority="7" dxfId="9" stopIfTrue="1">
      <formula>$AE26="Negative - Use Linear"</formula>
    </cfRule>
    <cfRule type="expression" priority="8" dxfId="8" stopIfTrue="1">
      <formula>$AH26="No Eq - Use Linear"</formula>
    </cfRule>
  </conditionalFormatting>
  <conditionalFormatting sqref="M20">
    <cfRule type="cellIs" priority="5" dxfId="2" operator="equal" stopIfTrue="1">
      <formula>"Select Only One Peak Hour"</formula>
    </cfRule>
    <cfRule type="cellIs" priority="6" dxfId="2" operator="equal" stopIfTrue="1">
      <formula>"Select Peak Period"</formula>
    </cfRule>
  </conditionalFormatting>
  <conditionalFormatting sqref="L33">
    <cfRule type="cellIs" priority="3" dxfId="2" operator="equal" stopIfTrue="1">
      <formula>"Select Only One Peak Hour"</formula>
    </cfRule>
    <cfRule type="cellIs" priority="4" dxfId="2" operator="equal" stopIfTrue="1">
      <formula>"Select Peak Period"</formula>
    </cfRule>
  </conditionalFormatting>
  <conditionalFormatting sqref="N33">
    <cfRule type="cellIs" priority="1" dxfId="2" operator="equal" stopIfTrue="1">
      <formula>"Select Only One Peak Hour"</formula>
    </cfRule>
    <cfRule type="cellIs" priority="2" dxfId="2" operator="equal" stopIfTrue="1">
      <formula>"Select Peak Period"</formula>
    </cfRule>
  </conditionalFormatting>
  <dataValidations count="9">
    <dataValidation type="list" allowBlank="1" showInputMessage="1" showErrorMessage="1" sqref="O18 S16 S18 O16">
      <formula1>$AX$101:$AX$102</formula1>
    </dataValidation>
    <dataValidation type="list" allowBlank="1" showInputMessage="1" showErrorMessage="1" prompt="Only select a zoning letter designations, not the zoning categories." sqref="D34:D38">
      <formula1>Proportionality!#REF!</formula1>
    </dataValidation>
    <dataValidation type="list" allowBlank="1" showInputMessage="1" showErrorMessage="1" prompt="DO NOT select from the land use categories listed in ALL CAPS.  Only select from land uses listed in lower case letters." sqref="D39:F39">
      <formula1>$X$104:$X$173</formula1>
    </dataValidation>
    <dataValidation allowBlank="1" showErrorMessage="1" sqref="G39 E34:F38 D27:F27 G21:G27 D29:G31"/>
    <dataValidation type="list" allowBlank="1" showInputMessage="1" showErrorMessage="1" promptTitle="Roadway Classification" prompt="Please select appropriate classification as per the City of Fort Worth Thoroughfare Plan." sqref="I54:I56">
      <formula1>$AC$104:$AC$107</formula1>
    </dataValidation>
    <dataValidation allowBlank="1" showErrorMessage="1" promptTitle="Roadway Classification" prompt="Please select appropriate classification as per the City of Fort Worth Thoroughfare Plan." sqref="H57:K57 H66:K67 H54:H56"/>
    <dataValidation allowBlank="1" showErrorMessage="1" promptTitle="Meter Types" prompt="PD = Positive Displacement&#10;TURB = Turbine&#10;COMP = Compound" sqref="D86:F87 G84:K86 D93:F95 G93:T94 L84:L85 M84:N86 Q84:T86 O86:P86 G34:G38 H34:I39 H21:I27 H29:I31 N27 N31 L21:L26 M34:M38 N39"/>
    <dataValidation type="list" allowBlank="1" showInputMessage="1" showErrorMessage="1" prompt="DO NOT select from the land use categories listed in ALL CAPS.  Only select from land uses listed in lower case letters." sqref="D21:F26">
      <formula1>LandUses</formula1>
    </dataValidation>
    <dataValidation type="list" allowBlank="1" showInputMessage="1" showErrorMessage="1" prompt="Please selcct appropriate classification as per the City of Austin / Travis County.&#10;" sqref="J48:L52">
      <formula1>CrossSections</formula1>
    </dataValidation>
  </dataValidations>
  <printOptions horizontalCentered="1"/>
  <pageMargins left="0.5" right="0.26875" top="0.5" bottom="0.5" header="0.5" footer="0.5"/>
  <pageSetup fitToHeight="1" fitToWidth="1" horizontalDpi="600" verticalDpi="600" orientation="portrait" paperSize="17" scale="79" r:id="rId2"/>
  <ignoredErrors>
    <ignoredError sqref="N21:N26 N29:N30 T48:T52 P21:P26" unlockedFormula="1"/>
  </ignoredErrors>
  <drawing r:id="rId1"/>
</worksheet>
</file>

<file path=xl/worksheets/sheet10.xml><?xml version="1.0" encoding="utf-8"?>
<worksheet xmlns="http://schemas.openxmlformats.org/spreadsheetml/2006/main" xmlns:r="http://schemas.openxmlformats.org/officeDocument/2006/relationships">
  <sheetPr>
    <pageSetUpPr fitToPage="1"/>
  </sheetPr>
  <dimension ref="A1:H60"/>
  <sheetViews>
    <sheetView view="pageBreakPreview" zoomScaleSheetLayoutView="100" zoomScalePageLayoutView="0" workbookViewId="0" topLeftCell="A1">
      <selection activeCell="B6" sqref="B6"/>
    </sheetView>
  </sheetViews>
  <sheetFormatPr defaultColWidth="9.140625" defaultRowHeight="12.75"/>
  <cols>
    <col min="1" max="1" width="6.57421875" style="0" customWidth="1"/>
    <col min="2" max="2" width="24.7109375" style="0" customWidth="1"/>
    <col min="3" max="3" width="18.7109375" style="0" customWidth="1"/>
    <col min="4" max="4" width="13.8515625" style="0" customWidth="1"/>
    <col min="5" max="5" width="8.7109375" style="0" customWidth="1"/>
    <col min="6" max="6" width="5.8515625" style="0" customWidth="1"/>
    <col min="7" max="7" width="8.7109375" style="0" customWidth="1"/>
    <col min="8" max="8" width="12.57421875" style="0" customWidth="1"/>
    <col min="9" max="9" width="3.7109375" style="0" customWidth="1"/>
  </cols>
  <sheetData>
    <row r="1" spans="1:8" ht="17.25">
      <c r="A1" s="65" t="s">
        <v>333</v>
      </c>
      <c r="H1" s="66">
        <v>41102</v>
      </c>
    </row>
    <row r="2" ht="13.5">
      <c r="A2" s="67" t="s">
        <v>415</v>
      </c>
    </row>
    <row r="3" ht="13.5">
      <c r="A3" s="67" t="s">
        <v>258</v>
      </c>
    </row>
    <row r="5" spans="1:8" ht="12.75">
      <c r="A5" s="68" t="s">
        <v>259</v>
      </c>
      <c r="B5" s="45"/>
      <c r="C5" s="45"/>
      <c r="D5" s="69" t="s">
        <v>260</v>
      </c>
      <c r="E5" s="45"/>
      <c r="F5" s="69"/>
      <c r="G5" s="69" t="s">
        <v>334</v>
      </c>
      <c r="H5" s="68" t="s">
        <v>335</v>
      </c>
    </row>
    <row r="6" spans="1:2" ht="12.75">
      <c r="A6" s="70" t="s">
        <v>261</v>
      </c>
      <c r="B6" s="71" t="s">
        <v>401</v>
      </c>
    </row>
    <row r="7" spans="1:2" ht="12.75">
      <c r="A7" s="70" t="s">
        <v>262</v>
      </c>
      <c r="B7" s="71" t="s">
        <v>459</v>
      </c>
    </row>
    <row r="8" spans="2:3" ht="12.75">
      <c r="B8" s="72" t="s">
        <v>337</v>
      </c>
      <c r="C8" s="73" t="s">
        <v>38</v>
      </c>
    </row>
    <row r="9" spans="2:3" ht="12.75">
      <c r="B9" s="72" t="s">
        <v>338</v>
      </c>
      <c r="C9" s="73" t="s">
        <v>339</v>
      </c>
    </row>
    <row r="10" spans="2:3" ht="12.75">
      <c r="B10" s="72" t="s">
        <v>340</v>
      </c>
      <c r="C10" s="73" t="s">
        <v>402</v>
      </c>
    </row>
    <row r="11" spans="2:3" ht="12.75">
      <c r="B11" s="72" t="s">
        <v>342</v>
      </c>
      <c r="C11" s="74">
        <v>5280</v>
      </c>
    </row>
    <row r="12" spans="2:3" ht="12.75">
      <c r="B12" s="72" t="s">
        <v>343</v>
      </c>
      <c r="C12" s="105">
        <v>60</v>
      </c>
    </row>
    <row r="13" spans="2:3" ht="12.75">
      <c r="B13" s="72" t="s">
        <v>344</v>
      </c>
      <c r="C13" s="106">
        <v>1</v>
      </c>
    </row>
    <row r="14" spans="2:3" ht="12.75">
      <c r="B14" s="72" t="s">
        <v>345</v>
      </c>
      <c r="C14" s="107">
        <f>C11*C12*C13/9</f>
        <v>35200</v>
      </c>
    </row>
    <row r="15" spans="2:3" ht="12.75">
      <c r="B15" s="72" t="s">
        <v>346</v>
      </c>
      <c r="C15" s="105">
        <v>15</v>
      </c>
    </row>
    <row r="16" spans="2:3" ht="12.75">
      <c r="B16" s="72" t="s">
        <v>347</v>
      </c>
      <c r="C16" s="106">
        <v>0</v>
      </c>
    </row>
    <row r="17" spans="2:3" ht="12.75">
      <c r="B17" s="72" t="s">
        <v>348</v>
      </c>
      <c r="C17" s="108">
        <v>0</v>
      </c>
    </row>
    <row r="18" spans="2:3" ht="12.75">
      <c r="B18" s="72" t="s">
        <v>349</v>
      </c>
      <c r="C18" s="107">
        <f>C14*C17</f>
        <v>0</v>
      </c>
    </row>
    <row r="19" spans="2:3" ht="12.75">
      <c r="B19" s="72" t="s">
        <v>350</v>
      </c>
      <c r="C19" s="105">
        <v>5</v>
      </c>
    </row>
    <row r="20" spans="2:3" ht="12.75">
      <c r="B20" s="72" t="s">
        <v>351</v>
      </c>
      <c r="C20" s="106">
        <v>2</v>
      </c>
    </row>
    <row r="21" ht="12.75">
      <c r="C21" s="32"/>
    </row>
    <row r="22" spans="1:8" ht="12.75">
      <c r="A22" s="68" t="s">
        <v>263</v>
      </c>
      <c r="B22" s="45"/>
      <c r="C22" s="45"/>
      <c r="D22" s="45"/>
      <c r="E22" s="69"/>
      <c r="F22" s="69"/>
      <c r="G22" s="69"/>
      <c r="H22" s="68"/>
    </row>
    <row r="23" spans="1:8" ht="12.75">
      <c r="A23" s="78" t="s">
        <v>352</v>
      </c>
      <c r="B23" s="78" t="s">
        <v>353</v>
      </c>
      <c r="C23" s="79" t="s">
        <v>354</v>
      </c>
      <c r="D23" s="78"/>
      <c r="E23" s="79" t="s">
        <v>264</v>
      </c>
      <c r="F23" s="79" t="s">
        <v>255</v>
      </c>
      <c r="G23" s="79" t="s">
        <v>355</v>
      </c>
      <c r="H23" s="79" t="s">
        <v>356</v>
      </c>
    </row>
    <row r="24" spans="2:8" ht="12.75">
      <c r="B24" t="s">
        <v>357</v>
      </c>
      <c r="C24" s="80">
        <f>C29+C30+C31</f>
        <v>18</v>
      </c>
      <c r="E24" s="81">
        <f>((C13*C11*(C12+C13*6))/9+C18)*C24/36</f>
        <v>19360</v>
      </c>
      <c r="F24" s="82" t="s">
        <v>358</v>
      </c>
      <c r="G24" s="83">
        <f>VLOOKUP($B$6,PayItems!A5:$E$19,5,FALSE)</f>
        <v>15</v>
      </c>
      <c r="H24" s="84">
        <f aca="true" t="shared" si="0" ref="H24:H31">G24*E24</f>
        <v>290400</v>
      </c>
    </row>
    <row r="25" spans="2:8" ht="12.75">
      <c r="B25" t="s">
        <v>359</v>
      </c>
      <c r="C25" s="106">
        <v>6</v>
      </c>
      <c r="E25" s="81">
        <f>C11*(C15*2+C16)*C25/(9*36)</f>
        <v>2933.3333333333335</v>
      </c>
      <c r="F25" s="82" t="s">
        <v>358</v>
      </c>
      <c r="G25" s="83">
        <f>VLOOKUP($B$6,PayItems!$A$20:$E$34,5,FALSE)</f>
        <v>10</v>
      </c>
      <c r="H25" s="84">
        <f t="shared" si="0"/>
        <v>29333.333333333336</v>
      </c>
    </row>
    <row r="26" spans="2:8" ht="12.75">
      <c r="B26" t="s">
        <v>360</v>
      </c>
      <c r="C26" s="106">
        <v>12</v>
      </c>
      <c r="E26" s="81">
        <f>C13*C11*(C12+6)*C26/(12*36)</f>
        <v>9680</v>
      </c>
      <c r="F26" s="82" t="s">
        <v>358</v>
      </c>
      <c r="G26" s="83">
        <f>VLOOKUP($B$6,PayItems!$A$35:$E$49,5,FALSE)</f>
        <v>20</v>
      </c>
      <c r="H26" s="84">
        <f t="shared" si="0"/>
        <v>193600</v>
      </c>
    </row>
    <row r="27" spans="2:8" ht="12.75">
      <c r="B27" t="s">
        <v>361</v>
      </c>
      <c r="C27" s="85"/>
      <c r="E27" s="81">
        <f>2*C13*C11</f>
        <v>10560</v>
      </c>
      <c r="F27" s="82" t="s">
        <v>362</v>
      </c>
      <c r="G27" s="83">
        <f>VLOOKUP($B$6,PayItems!$A$50:$E$64,5,FALSE)</f>
        <v>20</v>
      </c>
      <c r="H27" s="84">
        <f t="shared" si="0"/>
        <v>211200</v>
      </c>
    </row>
    <row r="28" spans="2:8" ht="12.75">
      <c r="B28" t="s">
        <v>363</v>
      </c>
      <c r="C28" s="85"/>
      <c r="E28" s="81">
        <f>C11*C20*C19</f>
        <v>52800</v>
      </c>
      <c r="F28" s="82" t="s">
        <v>364</v>
      </c>
      <c r="G28" s="83">
        <f>VLOOKUP($B$6,PayItems!$A$65:$E$79,5,FALSE)</f>
        <v>6</v>
      </c>
      <c r="H28" s="84">
        <f t="shared" si="0"/>
        <v>316800</v>
      </c>
    </row>
    <row r="29" spans="2:8" ht="12.75">
      <c r="B29" t="s">
        <v>365</v>
      </c>
      <c r="C29" s="106">
        <v>0</v>
      </c>
      <c r="E29" s="86">
        <f>((C13*C11*C12)/9+C18)*C29/36</f>
        <v>0</v>
      </c>
      <c r="F29" s="82" t="s">
        <v>358</v>
      </c>
      <c r="G29" s="83">
        <f>VLOOKUP($B$6,PayItems!$A$80:$E$94,5,FALSE)</f>
        <v>400</v>
      </c>
      <c r="H29" s="84">
        <f t="shared" si="0"/>
        <v>0</v>
      </c>
    </row>
    <row r="30" spans="2:8" ht="12.75">
      <c r="B30" t="s">
        <v>366</v>
      </c>
      <c r="C30" s="106">
        <v>4</v>
      </c>
      <c r="E30" s="81">
        <f>2*((C13*C11*(C12-3))/9+C18)*C30/36</f>
        <v>7431.111111111111</v>
      </c>
      <c r="F30" s="82" t="s">
        <v>367</v>
      </c>
      <c r="G30" s="83">
        <f>VLOOKUP($B$6,PayItems!$A$95:$E$109,5,FALSE)</f>
        <v>80</v>
      </c>
      <c r="H30" s="84">
        <f t="shared" si="0"/>
        <v>594488.8888888889</v>
      </c>
    </row>
    <row r="31" spans="1:8" ht="12.75">
      <c r="A31" s="87"/>
      <c r="B31" s="87" t="s">
        <v>368</v>
      </c>
      <c r="C31" s="106">
        <v>14</v>
      </c>
      <c r="D31" s="87"/>
      <c r="E31" s="88">
        <f>((C13*C11*(C12+6))/9+C18)*C31/36</f>
        <v>15057.777777777777</v>
      </c>
      <c r="F31" s="89" t="s">
        <v>358</v>
      </c>
      <c r="G31" s="90">
        <f>VLOOKUP($B$6,PayItems!$A$110:$E$124,5,FALSE)</f>
        <v>15</v>
      </c>
      <c r="H31" s="91">
        <f t="shared" si="0"/>
        <v>225866.66666666666</v>
      </c>
    </row>
    <row r="32" spans="7:8" ht="12.75">
      <c r="G32" s="92" t="s">
        <v>369</v>
      </c>
      <c r="H32" s="93">
        <f>SUM(H24:H31)</f>
        <v>1861688.8888888888</v>
      </c>
    </row>
    <row r="34" spans="1:8" ht="12.75">
      <c r="A34" s="68" t="s">
        <v>370</v>
      </c>
      <c r="B34" s="45"/>
      <c r="C34" s="45"/>
      <c r="D34" s="45"/>
      <c r="E34" s="69"/>
      <c r="F34" s="69"/>
      <c r="G34" s="69"/>
      <c r="H34" s="68"/>
    </row>
    <row r="35" spans="2:8" ht="12.75">
      <c r="B35" s="78" t="s">
        <v>353</v>
      </c>
      <c r="D35" s="78" t="s">
        <v>266</v>
      </c>
      <c r="G35" s="79" t="s">
        <v>267</v>
      </c>
      <c r="H35" s="79" t="s">
        <v>265</v>
      </c>
    </row>
    <row r="36" spans="2:8" ht="12.75">
      <c r="B36" t="s">
        <v>371</v>
      </c>
      <c r="D36" t="s">
        <v>372</v>
      </c>
      <c r="G36" s="94">
        <f>VLOOKUP($B$6,PayItems!$A$5:$H$19,8,FALSE)</f>
        <v>0.6</v>
      </c>
      <c r="H36" s="95">
        <f aca="true" t="shared" si="1" ref="H36:H41">H$32*G36</f>
        <v>1117013.3333333333</v>
      </c>
    </row>
    <row r="37" spans="2:8" ht="12.75">
      <c r="B37" t="s">
        <v>373</v>
      </c>
      <c r="G37" s="94">
        <f>VLOOKUP($B$6,PayItems!$A$20:$H$34,8,FALSE)</f>
        <v>0.1</v>
      </c>
      <c r="H37" s="95">
        <f t="shared" si="1"/>
        <v>186168.88888888888</v>
      </c>
    </row>
    <row r="38" spans="2:8" ht="12.75">
      <c r="B38" t="s">
        <v>374</v>
      </c>
      <c r="D38" s="96"/>
      <c r="G38" s="94">
        <v>0.03</v>
      </c>
      <c r="H38" s="95">
        <f t="shared" si="1"/>
        <v>55850.666666666664</v>
      </c>
    </row>
    <row r="39" spans="2:8" ht="12.75">
      <c r="B39" t="s">
        <v>268</v>
      </c>
      <c r="G39" s="94">
        <f>VLOOKUP($B$6,PayItems!$A$50:$H$64,8,FALSE)</f>
        <v>0</v>
      </c>
      <c r="H39" s="95">
        <f t="shared" si="1"/>
        <v>0</v>
      </c>
    </row>
    <row r="40" spans="2:8" ht="12.75">
      <c r="B40" t="s">
        <v>375</v>
      </c>
      <c r="G40" s="94">
        <f>VLOOKUP($B$6,PayItems!$A$65:$H$79,8,FALSE)</f>
        <v>0.06</v>
      </c>
      <c r="H40" s="95">
        <f t="shared" si="1"/>
        <v>111701.33333333333</v>
      </c>
    </row>
    <row r="41" spans="1:8" ht="12.75">
      <c r="A41" s="87"/>
      <c r="B41" s="87" t="s">
        <v>376</v>
      </c>
      <c r="C41" s="87"/>
      <c r="D41" s="87"/>
      <c r="E41" s="87"/>
      <c r="F41" s="87"/>
      <c r="G41" s="97">
        <f>VLOOKUP($B$6,PayItems!$A$80:$H$94,8,FALSE)</f>
        <v>0.04</v>
      </c>
      <c r="H41" s="98">
        <f t="shared" si="1"/>
        <v>74467.55555555555</v>
      </c>
    </row>
    <row r="42" spans="7:8" ht="12.75">
      <c r="G42" s="92" t="s">
        <v>377</v>
      </c>
      <c r="H42" s="93">
        <f>SUM(H36:H41)</f>
        <v>1545201.7777777775</v>
      </c>
    </row>
    <row r="43" spans="1:8" ht="13.5" thickBot="1">
      <c r="A43" s="99"/>
      <c r="B43" s="99"/>
      <c r="C43" s="99"/>
      <c r="D43" s="99"/>
      <c r="E43" s="99"/>
      <c r="F43" s="99"/>
      <c r="G43" s="99"/>
      <c r="H43" s="99"/>
    </row>
    <row r="44" spans="7:8" ht="12.75">
      <c r="G44" s="100" t="s">
        <v>378</v>
      </c>
      <c r="H44" s="101">
        <f>H32+H42</f>
        <v>3406890.666666666</v>
      </c>
    </row>
    <row r="46" spans="1:8" ht="12.75">
      <c r="A46" s="68" t="s">
        <v>379</v>
      </c>
      <c r="B46" s="45"/>
      <c r="C46" s="45"/>
      <c r="D46" s="45"/>
      <c r="E46" s="69"/>
      <c r="F46" s="69"/>
      <c r="G46" s="69"/>
      <c r="H46" s="68"/>
    </row>
    <row r="47" spans="2:8" ht="12.75">
      <c r="B47" s="78" t="s">
        <v>353</v>
      </c>
      <c r="D47" s="78" t="s">
        <v>266</v>
      </c>
      <c r="G47" s="79" t="s">
        <v>267</v>
      </c>
      <c r="H47" s="79" t="s">
        <v>265</v>
      </c>
    </row>
    <row r="48" spans="2:8" ht="12.75">
      <c r="B48" t="s">
        <v>380</v>
      </c>
      <c r="D48" t="s">
        <v>381</v>
      </c>
      <c r="G48" s="94">
        <f>VLOOKUP($B$6,PayItems!A5:$K$19,11,FALSE)</f>
        <v>0.25</v>
      </c>
      <c r="H48" s="95">
        <f>H$44*G48</f>
        <v>851722.6666666665</v>
      </c>
    </row>
    <row r="49" spans="2:8" ht="12.75">
      <c r="B49" t="s">
        <v>382</v>
      </c>
      <c r="D49" t="s">
        <v>383</v>
      </c>
      <c r="G49" s="94">
        <f>VLOOKUP($B$6,PayItems!$A$20:$K$34,11,FALSE)</f>
        <v>0.12</v>
      </c>
      <c r="H49" s="95">
        <f>H$44*G49</f>
        <v>408826.8799999999</v>
      </c>
    </row>
    <row r="50" spans="2:8" ht="12.75">
      <c r="B50" t="s">
        <v>384</v>
      </c>
      <c r="D50" t="s">
        <v>385</v>
      </c>
      <c r="G50" s="94">
        <f>VLOOKUP($B$6,PayItems!$A$35:$K$49,11,FALSE)</f>
        <v>0.05</v>
      </c>
      <c r="H50" s="95">
        <f>H$44*G50</f>
        <v>170344.53333333333</v>
      </c>
    </row>
    <row r="51" spans="2:8" ht="12.75">
      <c r="B51" t="s">
        <v>386</v>
      </c>
      <c r="G51" s="94">
        <f>VLOOKUP($B$6,PayItems!$A$50:$K$64,11,FALSE)</f>
        <v>0.15</v>
      </c>
      <c r="H51" s="95">
        <f>H$44*G51</f>
        <v>511033.59999999986</v>
      </c>
    </row>
    <row r="52" spans="1:8" ht="12.75">
      <c r="A52" s="87"/>
      <c r="B52" s="87" t="s">
        <v>387</v>
      </c>
      <c r="C52" s="87"/>
      <c r="D52" s="87"/>
      <c r="E52" s="87"/>
      <c r="F52" s="87"/>
      <c r="G52" s="97">
        <f>VLOOKUP($B$6,PayItems!$A$65:$K$79,11,FALSE)</f>
        <v>0</v>
      </c>
      <c r="H52" s="98">
        <f>H$57*G52</f>
        <v>0</v>
      </c>
    </row>
    <row r="53" spans="7:8" ht="12.75">
      <c r="G53" s="92" t="s">
        <v>388</v>
      </c>
      <c r="H53" s="93">
        <f>SUM(H48:H52)</f>
        <v>1941927.6799999995</v>
      </c>
    </row>
    <row r="55" spans="1:8" ht="12.75">
      <c r="A55" s="68" t="s">
        <v>498</v>
      </c>
      <c r="B55" s="45"/>
      <c r="C55" s="45"/>
      <c r="D55" s="45"/>
      <c r="E55" s="69"/>
      <c r="F55" s="69"/>
      <c r="G55" s="69"/>
      <c r="H55" s="68"/>
    </row>
    <row r="56" spans="2:8" ht="12.75">
      <c r="B56" s="78" t="s">
        <v>352</v>
      </c>
      <c r="D56" s="78" t="s">
        <v>266</v>
      </c>
      <c r="H56" s="79" t="s">
        <v>265</v>
      </c>
    </row>
    <row r="57" spans="2:8" ht="12.75">
      <c r="B57" t="s">
        <v>389</v>
      </c>
      <c r="G57" s="79"/>
      <c r="H57" s="102">
        <f>H32</f>
        <v>1861688.8888888888</v>
      </c>
    </row>
    <row r="58" spans="2:8" ht="12.75">
      <c r="B58" t="s">
        <v>390</v>
      </c>
      <c r="H58" s="95">
        <f>H42</f>
        <v>1545201.7777777775</v>
      </c>
    </row>
    <row r="59" spans="1:8" ht="12.75">
      <c r="A59" s="87"/>
      <c r="B59" s="87" t="s">
        <v>391</v>
      </c>
      <c r="C59" s="87"/>
      <c r="D59" s="87"/>
      <c r="E59" s="87"/>
      <c r="F59" s="87"/>
      <c r="G59" s="87"/>
      <c r="H59" s="98">
        <f>H53</f>
        <v>1941927.6799999995</v>
      </c>
    </row>
    <row r="60" spans="7:8" ht="12.75">
      <c r="G60" s="92" t="s">
        <v>392</v>
      </c>
      <c r="H60" s="103">
        <f>SUM(H57:H59)</f>
        <v>5348818.346666666</v>
      </c>
    </row>
  </sheetData>
  <sheetProtection password="FFAE" sheet="1" selectLockedCells="1"/>
  <printOptions/>
  <pageMargins left="0.75" right="0.75" top="1" bottom="1" header="0.5" footer="0.5"/>
  <pageSetup fitToHeight="1" fitToWidth="1" horizontalDpi="600" verticalDpi="600" orientation="portrait" scale="86" r:id="rId2"/>
  <drawing r:id="rId1"/>
</worksheet>
</file>

<file path=xl/worksheets/sheet11.xml><?xml version="1.0" encoding="utf-8"?>
<worksheet xmlns="http://schemas.openxmlformats.org/spreadsheetml/2006/main" xmlns:r="http://schemas.openxmlformats.org/officeDocument/2006/relationships">
  <sheetPr>
    <pageSetUpPr fitToPage="1"/>
  </sheetPr>
  <dimension ref="A1:H60"/>
  <sheetViews>
    <sheetView view="pageBreakPreview" zoomScaleSheetLayoutView="100" zoomScalePageLayoutView="0" workbookViewId="0" topLeftCell="A1">
      <selection activeCell="B6" sqref="B6"/>
    </sheetView>
  </sheetViews>
  <sheetFormatPr defaultColWidth="9.140625" defaultRowHeight="12.75"/>
  <cols>
    <col min="1" max="1" width="6.57421875" style="0" customWidth="1"/>
    <col min="2" max="2" width="24.7109375" style="0" customWidth="1"/>
    <col min="3" max="3" width="18.7109375" style="0" customWidth="1"/>
    <col min="4" max="4" width="13.8515625" style="0" customWidth="1"/>
    <col min="5" max="5" width="8.7109375" style="0" customWidth="1"/>
    <col min="6" max="6" width="5.8515625" style="0" customWidth="1"/>
    <col min="7" max="7" width="8.7109375" style="0" customWidth="1"/>
    <col min="8" max="8" width="12.57421875" style="0" customWidth="1"/>
    <col min="9" max="9" width="3.7109375" style="0" customWidth="1"/>
  </cols>
  <sheetData>
    <row r="1" spans="1:8" ht="17.25">
      <c r="A1" s="65" t="s">
        <v>333</v>
      </c>
      <c r="H1" s="66">
        <v>41102</v>
      </c>
    </row>
    <row r="2" ht="13.5">
      <c r="A2" s="67" t="s">
        <v>415</v>
      </c>
    </row>
    <row r="3" ht="13.5">
      <c r="A3" s="67" t="s">
        <v>258</v>
      </c>
    </row>
    <row r="5" spans="1:8" ht="12.75">
      <c r="A5" s="68" t="s">
        <v>259</v>
      </c>
      <c r="B5" s="45"/>
      <c r="C5" s="45"/>
      <c r="D5" s="69" t="s">
        <v>260</v>
      </c>
      <c r="E5" s="45"/>
      <c r="F5" s="69"/>
      <c r="G5" s="69" t="s">
        <v>334</v>
      </c>
      <c r="H5" s="68" t="s">
        <v>335</v>
      </c>
    </row>
    <row r="6" spans="1:2" ht="12.75">
      <c r="A6" s="70" t="s">
        <v>261</v>
      </c>
      <c r="B6" s="71" t="s">
        <v>403</v>
      </c>
    </row>
    <row r="7" spans="1:2" ht="12.75">
      <c r="A7" s="70" t="s">
        <v>262</v>
      </c>
      <c r="B7" s="71" t="s">
        <v>459</v>
      </c>
    </row>
    <row r="8" spans="2:3" ht="12.75">
      <c r="B8" s="72" t="s">
        <v>337</v>
      </c>
      <c r="C8" s="73" t="s">
        <v>38</v>
      </c>
    </row>
    <row r="9" spans="2:3" ht="12.75">
      <c r="B9" s="72" t="s">
        <v>338</v>
      </c>
      <c r="C9" s="73" t="s">
        <v>339</v>
      </c>
    </row>
    <row r="10" spans="2:3" ht="12.75">
      <c r="B10" s="72" t="s">
        <v>340</v>
      </c>
      <c r="C10" s="73" t="s">
        <v>404</v>
      </c>
    </row>
    <row r="11" spans="2:3" ht="12.75">
      <c r="B11" s="72" t="s">
        <v>342</v>
      </c>
      <c r="C11" s="74">
        <v>5280</v>
      </c>
    </row>
    <row r="12" spans="2:3" ht="12.75">
      <c r="B12" s="72" t="s">
        <v>343</v>
      </c>
      <c r="C12" s="74">
        <v>24</v>
      </c>
    </row>
    <row r="13" spans="2:3" ht="12.75">
      <c r="B13" s="72" t="s">
        <v>344</v>
      </c>
      <c r="C13" s="75">
        <v>2</v>
      </c>
    </row>
    <row r="14" spans="2:3" ht="12.75">
      <c r="B14" s="72" t="s">
        <v>345</v>
      </c>
      <c r="C14" s="76">
        <f>C11*C12*C13/9</f>
        <v>28160</v>
      </c>
    </row>
    <row r="15" spans="2:3" ht="12.75">
      <c r="B15" s="72" t="s">
        <v>346</v>
      </c>
      <c r="C15" s="74">
        <v>13</v>
      </c>
    </row>
    <row r="16" spans="2:3" ht="12.75">
      <c r="B16" s="72" t="s">
        <v>347</v>
      </c>
      <c r="C16" s="75">
        <v>16</v>
      </c>
    </row>
    <row r="17" spans="2:3" ht="12.75">
      <c r="B17" s="72" t="s">
        <v>348</v>
      </c>
      <c r="C17" s="77">
        <v>0</v>
      </c>
    </row>
    <row r="18" spans="2:3" ht="12.75">
      <c r="B18" s="72" t="s">
        <v>349</v>
      </c>
      <c r="C18" s="76">
        <f>C14*C17</f>
        <v>0</v>
      </c>
    </row>
    <row r="19" spans="2:3" ht="12.75">
      <c r="B19" s="72" t="s">
        <v>350</v>
      </c>
      <c r="C19" s="74">
        <v>5</v>
      </c>
    </row>
    <row r="20" spans="2:3" ht="12.75">
      <c r="B20" s="72" t="s">
        <v>351</v>
      </c>
      <c r="C20" s="75">
        <v>2</v>
      </c>
    </row>
    <row r="22" spans="1:8" ht="12.75">
      <c r="A22" s="68" t="s">
        <v>263</v>
      </c>
      <c r="B22" s="45"/>
      <c r="C22" s="45"/>
      <c r="D22" s="45"/>
      <c r="E22" s="69"/>
      <c r="F22" s="69"/>
      <c r="G22" s="69"/>
      <c r="H22" s="68"/>
    </row>
    <row r="23" spans="1:8" ht="12.75">
      <c r="A23" s="78" t="s">
        <v>352</v>
      </c>
      <c r="B23" s="78" t="s">
        <v>353</v>
      </c>
      <c r="C23" s="79" t="s">
        <v>354</v>
      </c>
      <c r="D23" s="78"/>
      <c r="E23" s="79" t="s">
        <v>264</v>
      </c>
      <c r="F23" s="79" t="s">
        <v>255</v>
      </c>
      <c r="G23" s="79" t="s">
        <v>355</v>
      </c>
      <c r="H23" s="79" t="s">
        <v>356</v>
      </c>
    </row>
    <row r="24" spans="2:8" ht="12.75">
      <c r="B24" t="s">
        <v>357</v>
      </c>
      <c r="C24" s="80">
        <f>C29+C30+C31</f>
        <v>19.5</v>
      </c>
      <c r="E24" s="81">
        <f>((C13*C11*(C12+C13*6))/9+C18)*C24/36</f>
        <v>22880</v>
      </c>
      <c r="F24" s="82" t="s">
        <v>358</v>
      </c>
      <c r="G24" s="83">
        <f>VLOOKUP($B$6,PayItems!A5:$E$19,5,FALSE)</f>
        <v>15</v>
      </c>
      <c r="H24" s="84">
        <f aca="true" t="shared" si="0" ref="H24:H31">G24*E24</f>
        <v>343200</v>
      </c>
    </row>
    <row r="25" spans="2:8" ht="12.75">
      <c r="B25" t="s">
        <v>359</v>
      </c>
      <c r="C25" s="75">
        <v>6</v>
      </c>
      <c r="E25" s="81">
        <f>C11*(C15*2+C16)*C25/(9*36)</f>
        <v>4106.666666666667</v>
      </c>
      <c r="F25" s="82" t="s">
        <v>358</v>
      </c>
      <c r="G25" s="83">
        <f>VLOOKUP($B$6,PayItems!$A$20:$E$34,5,FALSE)</f>
        <v>10</v>
      </c>
      <c r="H25" s="84">
        <f t="shared" si="0"/>
        <v>41066.66666666667</v>
      </c>
    </row>
    <row r="26" spans="2:8" ht="12.75">
      <c r="B26" t="s">
        <v>360</v>
      </c>
      <c r="C26" s="75">
        <v>12</v>
      </c>
      <c r="E26" s="81">
        <f>C13*C11*(C12+6)*C26/(12*36)</f>
        <v>8800</v>
      </c>
      <c r="F26" s="82" t="s">
        <v>358</v>
      </c>
      <c r="G26" s="83">
        <f>VLOOKUP($B$6,PayItems!$A$35:$E$49,5,FALSE)</f>
        <v>20</v>
      </c>
      <c r="H26" s="84">
        <f t="shared" si="0"/>
        <v>176000</v>
      </c>
    </row>
    <row r="27" spans="2:8" ht="12.75">
      <c r="B27" t="s">
        <v>361</v>
      </c>
      <c r="C27" s="85"/>
      <c r="E27" s="81">
        <f>2*C13*C11</f>
        <v>21120</v>
      </c>
      <c r="F27" s="82" t="s">
        <v>362</v>
      </c>
      <c r="G27" s="83">
        <f>VLOOKUP($B$6,PayItems!$A$50:$E$64,5,FALSE)</f>
        <v>20</v>
      </c>
      <c r="H27" s="84">
        <f t="shared" si="0"/>
        <v>422400</v>
      </c>
    </row>
    <row r="28" spans="2:8" ht="12.75">
      <c r="B28" t="s">
        <v>363</v>
      </c>
      <c r="C28" s="85"/>
      <c r="E28" s="81">
        <f>C11*C20*C19</f>
        <v>52800</v>
      </c>
      <c r="F28" s="82" t="s">
        <v>364</v>
      </c>
      <c r="G28" s="83">
        <f>VLOOKUP($B$6,PayItems!$A$65:$E$79,5,FALSE)</f>
        <v>6</v>
      </c>
      <c r="H28" s="84">
        <f t="shared" si="0"/>
        <v>316800</v>
      </c>
    </row>
    <row r="29" spans="2:8" ht="12.75">
      <c r="B29" t="s">
        <v>365</v>
      </c>
      <c r="C29" s="75">
        <v>0</v>
      </c>
      <c r="E29" s="86">
        <f>((C13*C11*C12)/9+C18)*C29/36</f>
        <v>0</v>
      </c>
      <c r="F29" s="82" t="s">
        <v>358</v>
      </c>
      <c r="G29" s="83">
        <f>VLOOKUP($B$6,PayItems!$A$80:$E$94,5,FALSE)</f>
        <v>400</v>
      </c>
      <c r="H29" s="84">
        <f t="shared" si="0"/>
        <v>0</v>
      </c>
    </row>
    <row r="30" spans="2:8" ht="12.75">
      <c r="B30" t="s">
        <v>366</v>
      </c>
      <c r="C30" s="75">
        <v>4.5</v>
      </c>
      <c r="E30" s="81">
        <f>2*((C13*C11*(C12-3))/9+C18)*C30/36</f>
        <v>6160</v>
      </c>
      <c r="F30" s="82" t="s">
        <v>367</v>
      </c>
      <c r="G30" s="83">
        <f>VLOOKUP($B$6,PayItems!$A$95:$E$109,5,FALSE)</f>
        <v>80</v>
      </c>
      <c r="H30" s="84">
        <f t="shared" si="0"/>
        <v>492800</v>
      </c>
    </row>
    <row r="31" spans="1:8" ht="12.75">
      <c r="A31" s="87"/>
      <c r="B31" s="87" t="s">
        <v>368</v>
      </c>
      <c r="C31" s="75">
        <v>15</v>
      </c>
      <c r="D31" s="87"/>
      <c r="E31" s="88">
        <f>((C13*C11*(C12+6))/9+C18)*C31/36</f>
        <v>14666.666666666666</v>
      </c>
      <c r="F31" s="89" t="s">
        <v>358</v>
      </c>
      <c r="G31" s="90">
        <f>VLOOKUP($B$6,PayItems!$A$110:$E$124,5,FALSE)</f>
        <v>15</v>
      </c>
      <c r="H31" s="91">
        <f t="shared" si="0"/>
        <v>220000</v>
      </c>
    </row>
    <row r="32" spans="7:8" ht="12.75">
      <c r="G32" s="92" t="s">
        <v>369</v>
      </c>
      <c r="H32" s="93">
        <f>SUM(H24:H31)</f>
        <v>2012266.6666666667</v>
      </c>
    </row>
    <row r="34" spans="1:8" ht="12.75">
      <c r="A34" s="68" t="s">
        <v>370</v>
      </c>
      <c r="B34" s="45"/>
      <c r="C34" s="45"/>
      <c r="D34" s="45"/>
      <c r="E34" s="69"/>
      <c r="F34" s="69"/>
      <c r="G34" s="69"/>
      <c r="H34" s="68"/>
    </row>
    <row r="35" spans="2:8" ht="12.75">
      <c r="B35" s="78" t="s">
        <v>353</v>
      </c>
      <c r="D35" s="78" t="s">
        <v>266</v>
      </c>
      <c r="G35" s="79" t="s">
        <v>267</v>
      </c>
      <c r="H35" s="79" t="s">
        <v>265</v>
      </c>
    </row>
    <row r="36" spans="2:8" ht="12.75">
      <c r="B36" t="s">
        <v>371</v>
      </c>
      <c r="D36" t="s">
        <v>372</v>
      </c>
      <c r="G36" s="94">
        <f>VLOOKUP($B$6,PayItems!$A$5:$H$19,8,FALSE)</f>
        <v>0.6</v>
      </c>
      <c r="H36" s="95">
        <f aca="true" t="shared" si="1" ref="H36:H41">H$32*G36</f>
        <v>1207360</v>
      </c>
    </row>
    <row r="37" spans="2:8" ht="12.75">
      <c r="B37" t="s">
        <v>373</v>
      </c>
      <c r="G37" s="94">
        <f>VLOOKUP($B$6,PayItems!$A$20:$H$34,8,FALSE)</f>
        <v>0.1</v>
      </c>
      <c r="H37" s="95">
        <f t="shared" si="1"/>
        <v>201226.6666666667</v>
      </c>
    </row>
    <row r="38" spans="2:8" ht="12.75">
      <c r="B38" t="s">
        <v>374</v>
      </c>
      <c r="D38" s="96"/>
      <c r="G38" s="94">
        <v>0.03</v>
      </c>
      <c r="H38" s="95">
        <f t="shared" si="1"/>
        <v>60368</v>
      </c>
    </row>
    <row r="39" spans="2:8" ht="12.75">
      <c r="B39" t="s">
        <v>268</v>
      </c>
      <c r="G39" s="94">
        <f>VLOOKUP($B$6,PayItems!$A$50:$H$64,8,FALSE)</f>
        <v>0</v>
      </c>
      <c r="H39" s="95">
        <f t="shared" si="1"/>
        <v>0</v>
      </c>
    </row>
    <row r="40" spans="2:8" ht="12.75">
      <c r="B40" t="s">
        <v>375</v>
      </c>
      <c r="G40" s="94">
        <f>VLOOKUP($B$6,PayItems!$A$65:$H$79,8,FALSE)</f>
        <v>0.06</v>
      </c>
      <c r="H40" s="95">
        <f t="shared" si="1"/>
        <v>120736</v>
      </c>
    </row>
    <row r="41" spans="1:8" ht="12.75">
      <c r="A41" s="87"/>
      <c r="B41" s="87" t="s">
        <v>376</v>
      </c>
      <c r="C41" s="87"/>
      <c r="D41" s="87"/>
      <c r="E41" s="87"/>
      <c r="F41" s="87"/>
      <c r="G41" s="97">
        <f>VLOOKUP($B$6,PayItems!$A$80:$H$94,8,FALSE)</f>
        <v>0.04</v>
      </c>
      <c r="H41" s="98">
        <f t="shared" si="1"/>
        <v>80490.66666666667</v>
      </c>
    </row>
    <row r="42" spans="7:8" ht="12.75">
      <c r="G42" s="92" t="s">
        <v>377</v>
      </c>
      <c r="H42" s="93">
        <f>SUM(H36:H41)</f>
        <v>1670181.3333333335</v>
      </c>
    </row>
    <row r="43" spans="1:8" ht="13.5" thickBot="1">
      <c r="A43" s="99"/>
      <c r="B43" s="99"/>
      <c r="C43" s="99"/>
      <c r="D43" s="99"/>
      <c r="E43" s="99"/>
      <c r="F43" s="99"/>
      <c r="G43" s="99"/>
      <c r="H43" s="99"/>
    </row>
    <row r="44" spans="7:8" ht="12.75">
      <c r="G44" s="100" t="s">
        <v>378</v>
      </c>
      <c r="H44" s="101">
        <f>H32+H42</f>
        <v>3682448</v>
      </c>
    </row>
    <row r="46" spans="1:8" ht="12.75">
      <c r="A46" s="68" t="s">
        <v>379</v>
      </c>
      <c r="B46" s="45"/>
      <c r="C46" s="45"/>
      <c r="D46" s="45"/>
      <c r="E46" s="69"/>
      <c r="F46" s="69"/>
      <c r="G46" s="69"/>
      <c r="H46" s="68"/>
    </row>
    <row r="47" spans="2:8" ht="12.75">
      <c r="B47" s="78" t="s">
        <v>353</v>
      </c>
      <c r="D47" s="78" t="s">
        <v>266</v>
      </c>
      <c r="G47" s="79" t="s">
        <v>267</v>
      </c>
      <c r="H47" s="79" t="s">
        <v>265</v>
      </c>
    </row>
    <row r="48" spans="2:8" ht="12.75">
      <c r="B48" t="s">
        <v>380</v>
      </c>
      <c r="D48" t="s">
        <v>381</v>
      </c>
      <c r="G48" s="94">
        <f>VLOOKUP($B$6,PayItems!A5:$K$19,11,FALSE)</f>
        <v>0.25</v>
      </c>
      <c r="H48" s="95">
        <f>H$44*G48</f>
        <v>920612</v>
      </c>
    </row>
    <row r="49" spans="2:8" ht="12.75">
      <c r="B49" t="s">
        <v>382</v>
      </c>
      <c r="D49" t="s">
        <v>383</v>
      </c>
      <c r="G49" s="94">
        <f>VLOOKUP($B$6,PayItems!$A$20:$K$34,11,FALSE)</f>
        <v>0.12</v>
      </c>
      <c r="H49" s="95">
        <f>H$44*G49</f>
        <v>441893.76</v>
      </c>
    </row>
    <row r="50" spans="2:8" ht="12.75">
      <c r="B50" t="s">
        <v>384</v>
      </c>
      <c r="D50" t="s">
        <v>385</v>
      </c>
      <c r="G50" s="94">
        <f>VLOOKUP($B$6,PayItems!$A$35:$K$49,11,FALSE)</f>
        <v>0.05</v>
      </c>
      <c r="H50" s="95">
        <f>H$44*G50</f>
        <v>184122.40000000002</v>
      </c>
    </row>
    <row r="51" spans="2:8" ht="12.75">
      <c r="B51" t="s">
        <v>386</v>
      </c>
      <c r="G51" s="94">
        <f>VLOOKUP($B$6,PayItems!$A$50:$K$64,11,FALSE)</f>
        <v>0.15</v>
      </c>
      <c r="H51" s="95">
        <f>H$44*G51</f>
        <v>552367.2</v>
      </c>
    </row>
    <row r="52" spans="1:8" ht="12.75">
      <c r="A52" s="87"/>
      <c r="B52" s="87" t="s">
        <v>387</v>
      </c>
      <c r="C52" s="87"/>
      <c r="D52" s="87"/>
      <c r="E52" s="87"/>
      <c r="F52" s="87"/>
      <c r="G52" s="97">
        <f>VLOOKUP($B$6,PayItems!$A$65:$K$79,11,FALSE)</f>
        <v>0</v>
      </c>
      <c r="H52" s="98">
        <f>H$57*G52</f>
        <v>0</v>
      </c>
    </row>
    <row r="53" spans="7:8" ht="12.75">
      <c r="G53" s="92" t="s">
        <v>388</v>
      </c>
      <c r="H53" s="93">
        <f>SUM(H48:H52)</f>
        <v>2098995.3600000003</v>
      </c>
    </row>
    <row r="55" spans="1:8" ht="12.75">
      <c r="A55" s="68" t="s">
        <v>498</v>
      </c>
      <c r="B55" s="45"/>
      <c r="C55" s="45"/>
      <c r="D55" s="45"/>
      <c r="E55" s="69"/>
      <c r="F55" s="69"/>
      <c r="G55" s="69"/>
      <c r="H55" s="68"/>
    </row>
    <row r="56" spans="2:8" ht="12.75">
      <c r="B56" s="78" t="s">
        <v>352</v>
      </c>
      <c r="D56" s="78" t="s">
        <v>266</v>
      </c>
      <c r="H56" s="79" t="s">
        <v>265</v>
      </c>
    </row>
    <row r="57" spans="2:8" ht="12.75">
      <c r="B57" t="s">
        <v>389</v>
      </c>
      <c r="G57" s="79"/>
      <c r="H57" s="102">
        <f>H32</f>
        <v>2012266.6666666667</v>
      </c>
    </row>
    <row r="58" spans="2:8" ht="12.75">
      <c r="B58" t="s">
        <v>390</v>
      </c>
      <c r="H58" s="95">
        <f>H42</f>
        <v>1670181.3333333335</v>
      </c>
    </row>
    <row r="59" spans="1:8" ht="12.75">
      <c r="A59" s="87"/>
      <c r="B59" s="87" t="s">
        <v>391</v>
      </c>
      <c r="C59" s="87"/>
      <c r="D59" s="87"/>
      <c r="E59" s="87"/>
      <c r="F59" s="87"/>
      <c r="G59" s="87"/>
      <c r="H59" s="98">
        <f>H53</f>
        <v>2098995.3600000003</v>
      </c>
    </row>
    <row r="60" spans="7:8" ht="12.75">
      <c r="G60" s="92" t="s">
        <v>392</v>
      </c>
      <c r="H60" s="103">
        <f>SUM(H57:H59)</f>
        <v>5781443.36</v>
      </c>
    </row>
  </sheetData>
  <sheetProtection password="FFAE" sheet="1" selectLockedCells="1"/>
  <printOptions/>
  <pageMargins left="0.75" right="0.75" top="1" bottom="1" header="0.5" footer="0.5"/>
  <pageSetup fitToHeight="1" fitToWidth="1" horizontalDpi="600" verticalDpi="600" orientation="portrait" scale="86"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A1:H60"/>
  <sheetViews>
    <sheetView view="pageBreakPreview" zoomScaleSheetLayoutView="100" zoomScalePageLayoutView="0" workbookViewId="0" topLeftCell="A1">
      <selection activeCell="B6" sqref="B6"/>
    </sheetView>
  </sheetViews>
  <sheetFormatPr defaultColWidth="9.140625" defaultRowHeight="12.75"/>
  <cols>
    <col min="1" max="1" width="6.57421875" style="0" customWidth="1"/>
    <col min="2" max="2" width="24.7109375" style="0" customWidth="1"/>
    <col min="3" max="3" width="18.7109375" style="0" customWidth="1"/>
    <col min="4" max="4" width="13.8515625" style="0" customWidth="1"/>
    <col min="5" max="5" width="8.7109375" style="0" customWidth="1"/>
    <col min="6" max="6" width="5.8515625" style="0" customWidth="1"/>
    <col min="7" max="7" width="8.7109375" style="0" customWidth="1"/>
    <col min="8" max="8" width="12.57421875" style="0" customWidth="1"/>
    <col min="9" max="9" width="3.7109375" style="0" customWidth="1"/>
  </cols>
  <sheetData>
    <row r="1" spans="1:8" ht="17.25">
      <c r="A1" s="65" t="s">
        <v>333</v>
      </c>
      <c r="H1" s="66">
        <v>41102</v>
      </c>
    </row>
    <row r="2" ht="13.5">
      <c r="A2" s="67" t="s">
        <v>415</v>
      </c>
    </row>
    <row r="3" ht="13.5">
      <c r="A3" s="67" t="s">
        <v>258</v>
      </c>
    </row>
    <row r="5" spans="1:8" ht="12.75">
      <c r="A5" s="68" t="s">
        <v>259</v>
      </c>
      <c r="B5" s="45"/>
      <c r="C5" s="45"/>
      <c r="D5" s="69" t="s">
        <v>260</v>
      </c>
      <c r="E5" s="45"/>
      <c r="F5" s="69"/>
      <c r="G5" s="69" t="s">
        <v>334</v>
      </c>
      <c r="H5" s="68" t="s">
        <v>335</v>
      </c>
    </row>
    <row r="6" spans="1:2" ht="12.75">
      <c r="A6" s="70" t="s">
        <v>261</v>
      </c>
      <c r="B6" s="71" t="s">
        <v>420</v>
      </c>
    </row>
    <row r="7" spans="1:2" ht="12.75">
      <c r="A7" s="70" t="s">
        <v>262</v>
      </c>
      <c r="B7" s="71" t="s">
        <v>459</v>
      </c>
    </row>
    <row r="8" spans="2:3" ht="12.75">
      <c r="B8" s="72" t="s">
        <v>337</v>
      </c>
      <c r="C8" s="73" t="s">
        <v>38</v>
      </c>
    </row>
    <row r="9" spans="2:3" ht="12.75">
      <c r="B9" s="72" t="s">
        <v>338</v>
      </c>
      <c r="C9" s="73" t="s">
        <v>339</v>
      </c>
    </row>
    <row r="10" spans="2:3" ht="12.75">
      <c r="B10" s="72" t="s">
        <v>340</v>
      </c>
      <c r="C10" s="73" t="s">
        <v>405</v>
      </c>
    </row>
    <row r="11" spans="2:3" ht="12.75">
      <c r="B11" s="72" t="s">
        <v>342</v>
      </c>
      <c r="C11" s="74">
        <v>5280</v>
      </c>
    </row>
    <row r="12" spans="2:3" ht="12.75">
      <c r="B12" s="72" t="s">
        <v>343</v>
      </c>
      <c r="C12" s="74">
        <v>36</v>
      </c>
    </row>
    <row r="13" spans="2:3" ht="12.75">
      <c r="B13" s="72" t="s">
        <v>344</v>
      </c>
      <c r="C13" s="75">
        <v>2</v>
      </c>
    </row>
    <row r="14" spans="2:3" ht="12.75">
      <c r="B14" s="72" t="s">
        <v>345</v>
      </c>
      <c r="C14" s="76">
        <f>C11*C12*C13/9</f>
        <v>42240</v>
      </c>
    </row>
    <row r="15" spans="2:3" ht="12.75">
      <c r="B15" s="72" t="s">
        <v>346</v>
      </c>
      <c r="C15" s="74">
        <v>13</v>
      </c>
    </row>
    <row r="16" spans="2:3" ht="12.75">
      <c r="B16" s="72" t="s">
        <v>347</v>
      </c>
      <c r="C16" s="75">
        <v>23</v>
      </c>
    </row>
    <row r="17" spans="2:3" ht="12.75">
      <c r="B17" s="72" t="s">
        <v>348</v>
      </c>
      <c r="C17" s="77">
        <v>0</v>
      </c>
    </row>
    <row r="18" spans="2:3" ht="12.75">
      <c r="B18" s="72" t="s">
        <v>349</v>
      </c>
      <c r="C18" s="76">
        <f>C14*C17</f>
        <v>0</v>
      </c>
    </row>
    <row r="19" spans="2:3" ht="12.75">
      <c r="B19" s="72" t="s">
        <v>350</v>
      </c>
      <c r="C19" s="74">
        <v>5</v>
      </c>
    </row>
    <row r="20" spans="2:3" ht="12.75">
      <c r="B20" s="72" t="s">
        <v>351</v>
      </c>
      <c r="C20" s="75">
        <v>2</v>
      </c>
    </row>
    <row r="22" spans="1:8" ht="12.75">
      <c r="A22" s="68" t="s">
        <v>263</v>
      </c>
      <c r="B22" s="45"/>
      <c r="C22" s="45"/>
      <c r="D22" s="45"/>
      <c r="E22" s="69"/>
      <c r="F22" s="69"/>
      <c r="G22" s="69"/>
      <c r="H22" s="68"/>
    </row>
    <row r="23" spans="1:8" ht="12.75">
      <c r="A23" s="78" t="s">
        <v>352</v>
      </c>
      <c r="B23" s="78" t="s">
        <v>353</v>
      </c>
      <c r="C23" s="79" t="s">
        <v>354</v>
      </c>
      <c r="D23" s="78"/>
      <c r="E23" s="79" t="s">
        <v>264</v>
      </c>
      <c r="F23" s="79" t="s">
        <v>255</v>
      </c>
      <c r="G23" s="79" t="s">
        <v>355</v>
      </c>
      <c r="H23" s="79" t="s">
        <v>356</v>
      </c>
    </row>
    <row r="24" spans="2:8" ht="12.75">
      <c r="B24" t="s">
        <v>357</v>
      </c>
      <c r="C24" s="80">
        <f>C29+C30+C31</f>
        <v>19.5</v>
      </c>
      <c r="E24" s="81">
        <f>((C13*C11*(C12+C13*6))/9+C18)*C24/36</f>
        <v>30506.666666666668</v>
      </c>
      <c r="F24" s="82" t="s">
        <v>358</v>
      </c>
      <c r="G24" s="83">
        <f>VLOOKUP($B$6,PayItems!A5:$E$19,5,FALSE)</f>
        <v>15</v>
      </c>
      <c r="H24" s="84">
        <f aca="true" t="shared" si="0" ref="H24:H31">G24*E24</f>
        <v>457600</v>
      </c>
    </row>
    <row r="25" spans="2:8" ht="12.75">
      <c r="B25" t="s">
        <v>359</v>
      </c>
      <c r="C25" s="75">
        <v>6</v>
      </c>
      <c r="E25" s="81">
        <f>C11*(C15*2+C16)*C25/(9*36)</f>
        <v>4791.111111111111</v>
      </c>
      <c r="F25" s="82" t="s">
        <v>358</v>
      </c>
      <c r="G25" s="83">
        <f>VLOOKUP($B$6,PayItems!$A$20:$E$34,5,FALSE)</f>
        <v>10</v>
      </c>
      <c r="H25" s="84">
        <f t="shared" si="0"/>
        <v>47911.11111111111</v>
      </c>
    </row>
    <row r="26" spans="2:8" ht="12.75">
      <c r="B26" t="s">
        <v>360</v>
      </c>
      <c r="C26" s="75">
        <v>12</v>
      </c>
      <c r="E26" s="81">
        <f>C13*C11*(C12+6)*C26/(12*36)</f>
        <v>12320</v>
      </c>
      <c r="F26" s="82" t="s">
        <v>358</v>
      </c>
      <c r="G26" s="83">
        <f>VLOOKUP($B$6,PayItems!$A$35:$E$49,5,FALSE)</f>
        <v>20</v>
      </c>
      <c r="H26" s="84">
        <f t="shared" si="0"/>
        <v>246400</v>
      </c>
    </row>
    <row r="27" spans="2:8" ht="12.75">
      <c r="B27" t="s">
        <v>361</v>
      </c>
      <c r="C27" s="85"/>
      <c r="E27" s="81">
        <f>2*C13*C11</f>
        <v>21120</v>
      </c>
      <c r="F27" s="82" t="s">
        <v>362</v>
      </c>
      <c r="G27" s="83">
        <f>VLOOKUP($B$6,PayItems!$A$50:$E$64,5,FALSE)</f>
        <v>20</v>
      </c>
      <c r="H27" s="84">
        <f t="shared" si="0"/>
        <v>422400</v>
      </c>
    </row>
    <row r="28" spans="2:8" ht="12.75">
      <c r="B28" t="s">
        <v>363</v>
      </c>
      <c r="C28" s="85"/>
      <c r="E28" s="81">
        <f>C11*C20*C19</f>
        <v>52800</v>
      </c>
      <c r="F28" s="82" t="s">
        <v>364</v>
      </c>
      <c r="G28" s="83">
        <f>VLOOKUP($B$6,PayItems!$A$65:$E$79,5,FALSE)</f>
        <v>6</v>
      </c>
      <c r="H28" s="84">
        <f t="shared" si="0"/>
        <v>316800</v>
      </c>
    </row>
    <row r="29" spans="2:8" ht="12.75">
      <c r="B29" t="s">
        <v>365</v>
      </c>
      <c r="C29" s="75">
        <v>0</v>
      </c>
      <c r="E29" s="86">
        <f>((C13*C11*C12)/9+C18)*C29/36</f>
        <v>0</v>
      </c>
      <c r="F29" s="82" t="s">
        <v>358</v>
      </c>
      <c r="G29" s="83">
        <f>VLOOKUP($B$6,PayItems!$A$80:$E$94,5,FALSE)</f>
        <v>400</v>
      </c>
      <c r="H29" s="84">
        <f t="shared" si="0"/>
        <v>0</v>
      </c>
    </row>
    <row r="30" spans="2:8" ht="12.75">
      <c r="B30" t="s">
        <v>366</v>
      </c>
      <c r="C30" s="75">
        <v>4.5</v>
      </c>
      <c r="E30" s="81">
        <f>2*((C13*C11*(C12-3))/9+C18)*C30/36</f>
        <v>9680</v>
      </c>
      <c r="F30" s="82" t="s">
        <v>367</v>
      </c>
      <c r="G30" s="83">
        <f>VLOOKUP($B$6,PayItems!$A$95:$E$109,5,FALSE)</f>
        <v>80</v>
      </c>
      <c r="H30" s="84">
        <f t="shared" si="0"/>
        <v>774400</v>
      </c>
    </row>
    <row r="31" spans="1:8" ht="12.75">
      <c r="A31" s="87"/>
      <c r="B31" s="87" t="s">
        <v>368</v>
      </c>
      <c r="C31" s="75">
        <v>15</v>
      </c>
      <c r="D31" s="87"/>
      <c r="E31" s="88">
        <f>((C13*C11*(C12+6))/9+C18)*C31/36</f>
        <v>20533.333333333332</v>
      </c>
      <c r="F31" s="89" t="s">
        <v>358</v>
      </c>
      <c r="G31" s="90">
        <f>VLOOKUP($B$6,PayItems!$A$110:$E$124,5,FALSE)</f>
        <v>15</v>
      </c>
      <c r="H31" s="91">
        <f t="shared" si="0"/>
        <v>308000</v>
      </c>
    </row>
    <row r="32" spans="7:8" ht="12.75">
      <c r="G32" s="92" t="s">
        <v>369</v>
      </c>
      <c r="H32" s="93">
        <f>SUM(H24:H31)</f>
        <v>2573511.111111111</v>
      </c>
    </row>
    <row r="34" spans="1:8" ht="12.75">
      <c r="A34" s="68" t="s">
        <v>370</v>
      </c>
      <c r="B34" s="45"/>
      <c r="C34" s="45"/>
      <c r="D34" s="45"/>
      <c r="E34" s="69"/>
      <c r="F34" s="69"/>
      <c r="G34" s="69"/>
      <c r="H34" s="68"/>
    </row>
    <row r="35" spans="2:8" ht="12.75">
      <c r="B35" s="78" t="s">
        <v>353</v>
      </c>
      <c r="D35" s="78" t="s">
        <v>266</v>
      </c>
      <c r="G35" s="79" t="s">
        <v>267</v>
      </c>
      <c r="H35" s="79" t="s">
        <v>265</v>
      </c>
    </row>
    <row r="36" spans="2:8" ht="12.75">
      <c r="B36" t="s">
        <v>371</v>
      </c>
      <c r="D36" t="s">
        <v>372</v>
      </c>
      <c r="G36" s="94">
        <f>VLOOKUP($B$6,PayItems!$A$5:$H$19,8,FALSE)</f>
        <v>0.6</v>
      </c>
      <c r="H36" s="95">
        <f aca="true" t="shared" si="1" ref="H36:H41">H$32*G36</f>
        <v>1544106.6666666665</v>
      </c>
    </row>
    <row r="37" spans="2:8" ht="12.75">
      <c r="B37" t="s">
        <v>373</v>
      </c>
      <c r="G37" s="94">
        <f>VLOOKUP($B$6,PayItems!$A$20:$H$34,8,FALSE)</f>
        <v>0.1</v>
      </c>
      <c r="H37" s="95">
        <f t="shared" si="1"/>
        <v>257351.11111111112</v>
      </c>
    </row>
    <row r="38" spans="2:8" ht="12.75">
      <c r="B38" t="s">
        <v>374</v>
      </c>
      <c r="D38" s="96"/>
      <c r="G38" s="94">
        <v>0.03</v>
      </c>
      <c r="H38" s="95">
        <f t="shared" si="1"/>
        <v>77205.33333333333</v>
      </c>
    </row>
    <row r="39" spans="2:8" ht="12.75">
      <c r="B39" t="s">
        <v>268</v>
      </c>
      <c r="G39" s="94">
        <f>VLOOKUP($B$6,PayItems!$A$50:$H$64,8,FALSE)</f>
        <v>0</v>
      </c>
      <c r="H39" s="95">
        <f t="shared" si="1"/>
        <v>0</v>
      </c>
    </row>
    <row r="40" spans="2:8" ht="12.75">
      <c r="B40" t="s">
        <v>375</v>
      </c>
      <c r="G40" s="94">
        <f>VLOOKUP($B$6,PayItems!$A$65:$H$79,8,FALSE)</f>
        <v>0.06</v>
      </c>
      <c r="H40" s="95">
        <f t="shared" si="1"/>
        <v>154410.66666666666</v>
      </c>
    </row>
    <row r="41" spans="1:8" ht="12.75">
      <c r="A41" s="87"/>
      <c r="B41" s="87" t="s">
        <v>376</v>
      </c>
      <c r="C41" s="87"/>
      <c r="D41" s="87"/>
      <c r="E41" s="87"/>
      <c r="F41" s="87"/>
      <c r="G41" s="97">
        <f>VLOOKUP($B$6,PayItems!$A$80:$H$94,8,FALSE)</f>
        <v>0.04</v>
      </c>
      <c r="H41" s="98">
        <f t="shared" si="1"/>
        <v>102940.44444444444</v>
      </c>
    </row>
    <row r="42" spans="7:8" ht="12.75">
      <c r="G42" s="92" t="s">
        <v>377</v>
      </c>
      <c r="H42" s="93">
        <f>SUM(H36:H41)</f>
        <v>2136014.222222222</v>
      </c>
    </row>
    <row r="43" spans="1:8" ht="13.5" thickBot="1">
      <c r="A43" s="99"/>
      <c r="B43" s="99"/>
      <c r="C43" s="99"/>
      <c r="D43" s="99"/>
      <c r="E43" s="99"/>
      <c r="F43" s="99"/>
      <c r="G43" s="99"/>
      <c r="H43" s="99"/>
    </row>
    <row r="44" spans="7:8" ht="12.75">
      <c r="G44" s="100" t="s">
        <v>378</v>
      </c>
      <c r="H44" s="101">
        <f>H32+H42</f>
        <v>4709525.333333333</v>
      </c>
    </row>
    <row r="46" spans="1:8" ht="12.75">
      <c r="A46" s="68" t="s">
        <v>379</v>
      </c>
      <c r="B46" s="45"/>
      <c r="C46" s="45"/>
      <c r="D46" s="45"/>
      <c r="E46" s="69"/>
      <c r="F46" s="69"/>
      <c r="G46" s="69"/>
      <c r="H46" s="68"/>
    </row>
    <row r="47" spans="2:8" ht="12.75">
      <c r="B47" s="78" t="s">
        <v>353</v>
      </c>
      <c r="D47" s="78" t="s">
        <v>266</v>
      </c>
      <c r="G47" s="79" t="s">
        <v>267</v>
      </c>
      <c r="H47" s="79" t="s">
        <v>265</v>
      </c>
    </row>
    <row r="48" spans="2:8" ht="12.75">
      <c r="B48" t="s">
        <v>380</v>
      </c>
      <c r="D48" t="s">
        <v>381</v>
      </c>
      <c r="G48" s="94">
        <f>VLOOKUP($B$6,PayItems!A5:$K$19,11,FALSE)</f>
        <v>0.25</v>
      </c>
      <c r="H48" s="95">
        <f>H$44*G48</f>
        <v>1177381.3333333333</v>
      </c>
    </row>
    <row r="49" spans="2:8" ht="12.75">
      <c r="B49" t="s">
        <v>382</v>
      </c>
      <c r="D49" t="s">
        <v>383</v>
      </c>
      <c r="G49" s="94">
        <f>VLOOKUP($B$6,PayItems!$A$20:$K$34,11,FALSE)</f>
        <v>0.12</v>
      </c>
      <c r="H49" s="95">
        <f>H$44*G49</f>
        <v>565143.0399999999</v>
      </c>
    </row>
    <row r="50" spans="2:8" ht="12.75">
      <c r="B50" t="s">
        <v>384</v>
      </c>
      <c r="D50" t="s">
        <v>385</v>
      </c>
      <c r="G50" s="94">
        <f>VLOOKUP($B$6,PayItems!$A$35:$K$49,11,FALSE)</f>
        <v>0.05</v>
      </c>
      <c r="H50" s="95">
        <f>H$44*G50</f>
        <v>235476.26666666666</v>
      </c>
    </row>
    <row r="51" spans="2:8" ht="12.75">
      <c r="B51" t="s">
        <v>386</v>
      </c>
      <c r="G51" s="94">
        <f>VLOOKUP($B$6,PayItems!$A$50:$K$64,11,FALSE)</f>
        <v>0.15</v>
      </c>
      <c r="H51" s="95">
        <f>H$44*G51</f>
        <v>706428.7999999999</v>
      </c>
    </row>
    <row r="52" spans="1:8" ht="12.75">
      <c r="A52" s="87"/>
      <c r="B52" s="87" t="s">
        <v>387</v>
      </c>
      <c r="C52" s="87"/>
      <c r="D52" s="87"/>
      <c r="E52" s="87"/>
      <c r="F52" s="87"/>
      <c r="G52" s="97">
        <f>VLOOKUP($B$6,PayItems!$A$65:$K$79,11,FALSE)</f>
        <v>0</v>
      </c>
      <c r="H52" s="98">
        <f>H$57*G52</f>
        <v>0</v>
      </c>
    </row>
    <row r="53" spans="7:8" ht="12.75">
      <c r="G53" s="92" t="s">
        <v>388</v>
      </c>
      <c r="H53" s="93">
        <f>SUM(H48:H52)</f>
        <v>2684429.4399999995</v>
      </c>
    </row>
    <row r="55" spans="1:8" ht="12.75">
      <c r="A55" s="68" t="s">
        <v>498</v>
      </c>
      <c r="B55" s="45"/>
      <c r="C55" s="45"/>
      <c r="D55" s="45"/>
      <c r="E55" s="69"/>
      <c r="F55" s="69"/>
      <c r="G55" s="69"/>
      <c r="H55" s="68"/>
    </row>
    <row r="56" spans="2:8" ht="12.75">
      <c r="B56" s="78" t="s">
        <v>352</v>
      </c>
      <c r="D56" s="78" t="s">
        <v>266</v>
      </c>
      <c r="H56" s="79" t="s">
        <v>265</v>
      </c>
    </row>
    <row r="57" spans="2:8" ht="12.75">
      <c r="B57" t="s">
        <v>389</v>
      </c>
      <c r="G57" s="79"/>
      <c r="H57" s="102">
        <f>H32</f>
        <v>2573511.111111111</v>
      </c>
    </row>
    <row r="58" spans="2:8" ht="12.75">
      <c r="B58" t="s">
        <v>390</v>
      </c>
      <c r="H58" s="95">
        <f>H42</f>
        <v>2136014.222222222</v>
      </c>
    </row>
    <row r="59" spans="1:8" ht="12.75">
      <c r="A59" s="87"/>
      <c r="B59" s="87" t="s">
        <v>391</v>
      </c>
      <c r="C59" s="87"/>
      <c r="D59" s="87"/>
      <c r="E59" s="87"/>
      <c r="F59" s="87"/>
      <c r="G59" s="87"/>
      <c r="H59" s="98">
        <f>H53</f>
        <v>2684429.4399999995</v>
      </c>
    </row>
    <row r="60" spans="7:8" ht="12.75">
      <c r="G60" s="92" t="s">
        <v>392</v>
      </c>
      <c r="H60" s="103">
        <f>SUM(H57:H59)</f>
        <v>7393954.7733333325</v>
      </c>
    </row>
  </sheetData>
  <sheetProtection password="FFAE" sheet="1" selectLockedCells="1"/>
  <printOptions/>
  <pageMargins left="0.75" right="0.75" top="1" bottom="1" header="0.5" footer="0.5"/>
  <pageSetup fitToHeight="1" fitToWidth="1" horizontalDpi="600" verticalDpi="600" orientation="portrait" scale="86" r:id="rId2"/>
  <drawing r:id="rId1"/>
</worksheet>
</file>

<file path=xl/worksheets/sheet13.xml><?xml version="1.0" encoding="utf-8"?>
<worksheet xmlns="http://schemas.openxmlformats.org/spreadsheetml/2006/main" xmlns:r="http://schemas.openxmlformats.org/officeDocument/2006/relationships">
  <sheetPr>
    <pageSetUpPr fitToPage="1"/>
  </sheetPr>
  <dimension ref="A1:H61"/>
  <sheetViews>
    <sheetView view="pageBreakPreview" zoomScaleSheetLayoutView="100" zoomScalePageLayoutView="0" workbookViewId="0" topLeftCell="A1">
      <selection activeCell="B6" sqref="B6"/>
    </sheetView>
  </sheetViews>
  <sheetFormatPr defaultColWidth="9.140625" defaultRowHeight="12.75"/>
  <cols>
    <col min="1" max="1" width="6.57421875" style="0" customWidth="1"/>
    <col min="2" max="2" width="24.7109375" style="0" customWidth="1"/>
    <col min="3" max="3" width="18.7109375" style="0" customWidth="1"/>
    <col min="4" max="4" width="13.8515625" style="0" customWidth="1"/>
    <col min="5" max="5" width="8.7109375" style="0" customWidth="1"/>
    <col min="6" max="6" width="5.8515625" style="0" customWidth="1"/>
    <col min="7" max="7" width="8.7109375" style="0" customWidth="1"/>
    <col min="8" max="8" width="12.57421875" style="0" customWidth="1"/>
    <col min="9" max="9" width="3.7109375" style="0" customWidth="1"/>
  </cols>
  <sheetData>
    <row r="1" spans="1:8" ht="17.25">
      <c r="A1" s="65" t="s">
        <v>333</v>
      </c>
      <c r="H1" s="66">
        <v>41102</v>
      </c>
    </row>
    <row r="2" ht="13.5">
      <c r="A2" s="67" t="s">
        <v>415</v>
      </c>
    </row>
    <row r="3" ht="13.5">
      <c r="A3" s="67" t="s">
        <v>258</v>
      </c>
    </row>
    <row r="5" spans="1:8" ht="12.75">
      <c r="A5" s="68" t="s">
        <v>259</v>
      </c>
      <c r="B5" s="45"/>
      <c r="C5" s="45"/>
      <c r="D5" s="69" t="s">
        <v>260</v>
      </c>
      <c r="E5" s="45"/>
      <c r="F5" s="69"/>
      <c r="G5" s="69" t="s">
        <v>334</v>
      </c>
      <c r="H5" s="68" t="s">
        <v>335</v>
      </c>
    </row>
    <row r="6" spans="1:2" ht="12.75">
      <c r="A6" s="70" t="s">
        <v>261</v>
      </c>
      <c r="B6" s="71" t="s">
        <v>409</v>
      </c>
    </row>
    <row r="7" spans="1:2" ht="12.75">
      <c r="A7" s="70" t="s">
        <v>262</v>
      </c>
      <c r="B7" s="71" t="s">
        <v>459</v>
      </c>
    </row>
    <row r="8" spans="2:3" ht="12.75">
      <c r="B8" s="72" t="s">
        <v>337</v>
      </c>
      <c r="C8" s="73" t="s">
        <v>38</v>
      </c>
    </row>
    <row r="9" spans="2:3" ht="12.75">
      <c r="B9" s="72" t="s">
        <v>338</v>
      </c>
      <c r="C9" s="73" t="s">
        <v>339</v>
      </c>
    </row>
    <row r="10" spans="2:3" ht="12.75">
      <c r="B10" s="72" t="s">
        <v>340</v>
      </c>
      <c r="C10" s="73" t="s">
        <v>410</v>
      </c>
    </row>
    <row r="11" spans="2:3" ht="12.75">
      <c r="B11" s="72" t="s">
        <v>342</v>
      </c>
      <c r="C11" s="74">
        <v>5280</v>
      </c>
    </row>
    <row r="12" spans="2:3" ht="12.75">
      <c r="B12" s="72" t="s">
        <v>343</v>
      </c>
      <c r="C12" s="74">
        <v>27</v>
      </c>
    </row>
    <row r="13" spans="2:3" ht="12.75">
      <c r="B13" s="72" t="s">
        <v>344</v>
      </c>
      <c r="C13" s="75">
        <v>2</v>
      </c>
    </row>
    <row r="14" spans="2:3" ht="12.75">
      <c r="B14" s="72" t="s">
        <v>345</v>
      </c>
      <c r="C14" s="76">
        <f>C11*C12*C13/9</f>
        <v>31680</v>
      </c>
    </row>
    <row r="15" spans="2:3" ht="12.75">
      <c r="B15" s="72" t="s">
        <v>346</v>
      </c>
      <c r="C15" s="74">
        <v>10</v>
      </c>
    </row>
    <row r="16" spans="2:3" ht="12.75">
      <c r="B16" s="72" t="s">
        <v>347</v>
      </c>
      <c r="C16" s="75">
        <v>16</v>
      </c>
    </row>
    <row r="17" spans="2:3" ht="12.75">
      <c r="B17" s="72" t="s">
        <v>348</v>
      </c>
      <c r="C17" s="77">
        <v>0</v>
      </c>
    </row>
    <row r="18" spans="2:3" ht="12.75">
      <c r="B18" s="72" t="s">
        <v>349</v>
      </c>
      <c r="C18" s="76">
        <f>C14*C17</f>
        <v>0</v>
      </c>
    </row>
    <row r="19" spans="2:3" ht="12.75">
      <c r="B19" s="72" t="s">
        <v>350</v>
      </c>
      <c r="C19" s="74">
        <v>5</v>
      </c>
    </row>
    <row r="20" spans="2:3" ht="12.75">
      <c r="B20" s="72" t="s">
        <v>351</v>
      </c>
      <c r="C20" s="75">
        <v>2</v>
      </c>
    </row>
    <row r="22" spans="1:8" ht="12.75">
      <c r="A22" s="68" t="s">
        <v>263</v>
      </c>
      <c r="B22" s="45"/>
      <c r="C22" s="45"/>
      <c r="D22" s="45"/>
      <c r="E22" s="69"/>
      <c r="F22" s="69"/>
      <c r="G22" s="69"/>
      <c r="H22" s="68"/>
    </row>
    <row r="23" spans="1:8" ht="12.75">
      <c r="A23" s="78" t="s">
        <v>352</v>
      </c>
      <c r="B23" s="78" t="s">
        <v>353</v>
      </c>
      <c r="C23" s="79" t="s">
        <v>354</v>
      </c>
      <c r="D23" s="78"/>
      <c r="E23" s="79" t="s">
        <v>264</v>
      </c>
      <c r="F23" s="79" t="s">
        <v>255</v>
      </c>
      <c r="G23" s="79" t="s">
        <v>355</v>
      </c>
      <c r="H23" s="79" t="s">
        <v>356</v>
      </c>
    </row>
    <row r="24" spans="2:8" ht="12.75">
      <c r="B24" t="s">
        <v>357</v>
      </c>
      <c r="C24" s="80">
        <f>C29+C30+C31</f>
        <v>21</v>
      </c>
      <c r="E24" s="81">
        <f>((C13*C11*(C12+C13*6))/9+C18)*C24/36</f>
        <v>26693.333333333332</v>
      </c>
      <c r="F24" s="82" t="s">
        <v>358</v>
      </c>
      <c r="G24" s="83">
        <f>VLOOKUP($B$6,PayItems!A5:$E$19,5,FALSE)</f>
        <v>15</v>
      </c>
      <c r="H24" s="84">
        <f aca="true" t="shared" si="0" ref="H24:H31">G24*E24</f>
        <v>400400</v>
      </c>
    </row>
    <row r="25" spans="2:8" ht="12.75">
      <c r="B25" t="s">
        <v>359</v>
      </c>
      <c r="C25" s="75">
        <v>6</v>
      </c>
      <c r="E25" s="81">
        <f>C11*(C15*2+C16)*C25/(9*36)</f>
        <v>3520</v>
      </c>
      <c r="F25" s="82" t="s">
        <v>358</v>
      </c>
      <c r="G25" s="83">
        <f>VLOOKUP($B$6,PayItems!$A$20:$E$34,5,FALSE)</f>
        <v>10</v>
      </c>
      <c r="H25" s="84">
        <f t="shared" si="0"/>
        <v>35200</v>
      </c>
    </row>
    <row r="26" spans="2:8" ht="12.75">
      <c r="B26" t="s">
        <v>360</v>
      </c>
      <c r="C26" s="75">
        <v>12</v>
      </c>
      <c r="E26" s="81">
        <f>C13*C11*(C12+6)*C26/(12*36)</f>
        <v>9680</v>
      </c>
      <c r="F26" s="82" t="s">
        <v>358</v>
      </c>
      <c r="G26" s="83">
        <f>VLOOKUP($B$6,PayItems!$A$35:$E$49,5,FALSE)</f>
        <v>20</v>
      </c>
      <c r="H26" s="84">
        <f t="shared" si="0"/>
        <v>193600</v>
      </c>
    </row>
    <row r="27" spans="2:8" ht="12.75">
      <c r="B27" t="s">
        <v>361</v>
      </c>
      <c r="C27" s="85"/>
      <c r="E27" s="81">
        <f>2*C13*C11</f>
        <v>21120</v>
      </c>
      <c r="F27" s="82" t="s">
        <v>362</v>
      </c>
      <c r="G27" s="83">
        <f>VLOOKUP($B$6,PayItems!$A$50:$E$64,5,FALSE)</f>
        <v>20</v>
      </c>
      <c r="H27" s="84">
        <f t="shared" si="0"/>
        <v>422400</v>
      </c>
    </row>
    <row r="28" spans="2:8" ht="12.75">
      <c r="B28" t="s">
        <v>363</v>
      </c>
      <c r="C28" s="85"/>
      <c r="E28" s="81">
        <f>C11*C20*C19</f>
        <v>52800</v>
      </c>
      <c r="F28" s="82" t="s">
        <v>364</v>
      </c>
      <c r="G28" s="83">
        <f>VLOOKUP($B$6,PayItems!$A$65:$E$79,5,FALSE)</f>
        <v>6</v>
      </c>
      <c r="H28" s="84">
        <f t="shared" si="0"/>
        <v>316800</v>
      </c>
    </row>
    <row r="29" spans="2:8" ht="12.75">
      <c r="B29" t="s">
        <v>365</v>
      </c>
      <c r="C29" s="75">
        <v>0</v>
      </c>
      <c r="E29" s="86">
        <f>((C13*C11*C12)/9+C18)*C29/36</f>
        <v>0</v>
      </c>
      <c r="F29" s="82" t="s">
        <v>358</v>
      </c>
      <c r="G29" s="83">
        <f>VLOOKUP($B$6,PayItems!$A$80:$E$94,5,FALSE)</f>
        <v>400</v>
      </c>
      <c r="H29" s="84">
        <f t="shared" si="0"/>
        <v>0</v>
      </c>
    </row>
    <row r="30" spans="2:8" ht="12.75">
      <c r="B30" t="s">
        <v>366</v>
      </c>
      <c r="C30" s="75">
        <v>5</v>
      </c>
      <c r="E30" s="81">
        <f>2*((C13*C11*(C12-3))/9+C18)*C30/36</f>
        <v>7822.222222222223</v>
      </c>
      <c r="F30" s="82" t="s">
        <v>367</v>
      </c>
      <c r="G30" s="83">
        <f>VLOOKUP($B$6,PayItems!$A$95:$E$109,5,FALSE)</f>
        <v>80</v>
      </c>
      <c r="H30" s="84">
        <f t="shared" si="0"/>
        <v>625777.7777777778</v>
      </c>
    </row>
    <row r="31" spans="1:8" ht="12.75">
      <c r="A31" s="87"/>
      <c r="B31" s="87" t="s">
        <v>368</v>
      </c>
      <c r="C31" s="75">
        <v>16</v>
      </c>
      <c r="D31" s="87"/>
      <c r="E31" s="88">
        <f>((C13*C11*(C12+6))/9+C18)*C31/36</f>
        <v>17208.88888888889</v>
      </c>
      <c r="F31" s="89" t="s">
        <v>358</v>
      </c>
      <c r="G31" s="90">
        <f>VLOOKUP($B$6,PayItems!$A$110:$E$124,5,FALSE)</f>
        <v>15</v>
      </c>
      <c r="H31" s="91">
        <f t="shared" si="0"/>
        <v>258133.33333333337</v>
      </c>
    </row>
    <row r="32" spans="7:8" ht="12.75">
      <c r="G32" s="92" t="s">
        <v>369</v>
      </c>
      <c r="H32" s="93">
        <f>SUM(H24:H31)</f>
        <v>2252311.111111111</v>
      </c>
    </row>
    <row r="34" spans="1:8" ht="12.75">
      <c r="A34" s="68" t="s">
        <v>370</v>
      </c>
      <c r="B34" s="45"/>
      <c r="C34" s="45"/>
      <c r="D34" s="45"/>
      <c r="E34" s="69"/>
      <c r="F34" s="69"/>
      <c r="G34" s="69"/>
      <c r="H34" s="68"/>
    </row>
    <row r="35" spans="2:8" ht="12.75">
      <c r="B35" s="78" t="s">
        <v>353</v>
      </c>
      <c r="D35" s="78" t="s">
        <v>266</v>
      </c>
      <c r="G35" s="79" t="s">
        <v>267</v>
      </c>
      <c r="H35" s="79" t="s">
        <v>265</v>
      </c>
    </row>
    <row r="36" spans="2:8" ht="12.75">
      <c r="B36" t="s">
        <v>371</v>
      </c>
      <c r="D36" t="s">
        <v>372</v>
      </c>
      <c r="G36" s="94">
        <f>VLOOKUP($B$6,PayItems!$A$5:$H$19,8,FALSE)</f>
        <v>0.6</v>
      </c>
      <c r="H36" s="95">
        <f aca="true" t="shared" si="1" ref="H36:H41">H$32*G36</f>
        <v>1351386.6666666665</v>
      </c>
    </row>
    <row r="37" spans="2:8" ht="12.75">
      <c r="B37" t="s">
        <v>373</v>
      </c>
      <c r="G37" s="94">
        <f>VLOOKUP($B$6,PayItems!$A$20:$H$34,8,FALSE)</f>
        <v>0.1</v>
      </c>
      <c r="H37" s="95">
        <f t="shared" si="1"/>
        <v>225231.11111111112</v>
      </c>
    </row>
    <row r="38" spans="2:8" ht="12.75">
      <c r="B38" t="s">
        <v>374</v>
      </c>
      <c r="D38" s="96"/>
      <c r="G38" s="94">
        <v>0.05</v>
      </c>
      <c r="H38" s="95">
        <f t="shared" si="1"/>
        <v>112615.55555555556</v>
      </c>
    </row>
    <row r="39" spans="2:8" ht="12.75">
      <c r="B39" t="s">
        <v>268</v>
      </c>
      <c r="G39" s="94">
        <f>VLOOKUP($B$6,PayItems!$A$50:$H$64,8,FALSE)</f>
        <v>0</v>
      </c>
      <c r="H39" s="95">
        <f t="shared" si="1"/>
        <v>0</v>
      </c>
    </row>
    <row r="40" spans="2:8" ht="12.75">
      <c r="B40" t="s">
        <v>375</v>
      </c>
      <c r="G40" s="94">
        <f>VLOOKUP($B$6,PayItems!$A$65:$H$79,8,FALSE)</f>
        <v>0.06</v>
      </c>
      <c r="H40" s="95">
        <f t="shared" si="1"/>
        <v>135138.66666666666</v>
      </c>
    </row>
    <row r="41" spans="1:8" ht="12.75">
      <c r="A41" s="87"/>
      <c r="B41" s="87" t="s">
        <v>376</v>
      </c>
      <c r="C41" s="87"/>
      <c r="D41" s="87"/>
      <c r="E41" s="87"/>
      <c r="F41" s="87"/>
      <c r="G41" s="97">
        <f>VLOOKUP($B$6,PayItems!$A$80:$H$94,8,FALSE)</f>
        <v>0.04</v>
      </c>
      <c r="H41" s="98">
        <f t="shared" si="1"/>
        <v>90092.44444444444</v>
      </c>
    </row>
    <row r="42" spans="7:8" ht="12.75">
      <c r="G42" s="92" t="s">
        <v>377</v>
      </c>
      <c r="H42" s="93">
        <f>SUM(H36:H41)</f>
        <v>1914464.4444444443</v>
      </c>
    </row>
    <row r="43" spans="1:8" ht="13.5" thickBot="1">
      <c r="A43" s="99"/>
      <c r="B43" s="99"/>
      <c r="C43" s="99"/>
      <c r="D43" s="99"/>
      <c r="E43" s="99"/>
      <c r="F43" s="99"/>
      <c r="G43" s="99"/>
      <c r="H43" s="99"/>
    </row>
    <row r="44" spans="7:8" ht="12.75">
      <c r="G44" s="100" t="s">
        <v>378</v>
      </c>
      <c r="H44" s="101">
        <f>H32+H42</f>
        <v>4166775.555555555</v>
      </c>
    </row>
    <row r="46" spans="1:8" ht="12.75">
      <c r="A46" s="68" t="s">
        <v>379</v>
      </c>
      <c r="B46" s="45"/>
      <c r="C46" s="45"/>
      <c r="D46" s="45"/>
      <c r="E46" s="69"/>
      <c r="F46" s="69"/>
      <c r="G46" s="69"/>
      <c r="H46" s="68"/>
    </row>
    <row r="47" spans="2:8" ht="12.75">
      <c r="B47" s="78" t="s">
        <v>353</v>
      </c>
      <c r="D47" s="78" t="s">
        <v>266</v>
      </c>
      <c r="G47" s="79" t="s">
        <v>267</v>
      </c>
      <c r="H47" s="79" t="s">
        <v>265</v>
      </c>
    </row>
    <row r="48" spans="2:8" ht="12.75">
      <c r="B48" t="s">
        <v>380</v>
      </c>
      <c r="D48" t="s">
        <v>381</v>
      </c>
      <c r="G48" s="94">
        <f>VLOOKUP($B$6,PayItems!A5:$K$19,11,FALSE)</f>
        <v>0.25</v>
      </c>
      <c r="H48" s="95">
        <f>H$44*G48</f>
        <v>1041693.8888888888</v>
      </c>
    </row>
    <row r="49" spans="2:8" ht="12.75">
      <c r="B49" t="s">
        <v>382</v>
      </c>
      <c r="D49" t="s">
        <v>383</v>
      </c>
      <c r="G49" s="94">
        <f>VLOOKUP($B$6,PayItems!$A$20:$K$34,11,FALSE)</f>
        <v>0.12</v>
      </c>
      <c r="H49" s="95">
        <f>H$44*G49</f>
        <v>500013.0666666666</v>
      </c>
    </row>
    <row r="50" spans="2:8" ht="12.75">
      <c r="B50" t="s">
        <v>384</v>
      </c>
      <c r="D50" t="s">
        <v>385</v>
      </c>
      <c r="G50" s="94">
        <f>VLOOKUP($B$6,PayItems!$A$35:$K$49,11,FALSE)</f>
        <v>0.05</v>
      </c>
      <c r="H50" s="95">
        <f>H$44*G50</f>
        <v>208338.77777777775</v>
      </c>
    </row>
    <row r="51" spans="2:8" ht="12.75">
      <c r="B51" t="s">
        <v>386</v>
      </c>
      <c r="G51" s="94">
        <f>VLOOKUP($B$6,PayItems!$A$50:$K$64,11,FALSE)</f>
        <v>0.15</v>
      </c>
      <c r="H51" s="95">
        <f>H$44*G51</f>
        <v>625016.3333333333</v>
      </c>
    </row>
    <row r="52" spans="1:8" ht="12.75">
      <c r="A52" s="87"/>
      <c r="B52" s="87" t="s">
        <v>387</v>
      </c>
      <c r="C52" s="87"/>
      <c r="D52" s="87"/>
      <c r="E52" s="87"/>
      <c r="F52" s="87"/>
      <c r="G52" s="97">
        <f>VLOOKUP($B$6,PayItems!$A$65:$K$79,11,FALSE)</f>
        <v>0</v>
      </c>
      <c r="H52" s="98">
        <f>H$57*G52</f>
        <v>0</v>
      </c>
    </row>
    <row r="53" spans="7:8" ht="12.75">
      <c r="G53" s="92" t="s">
        <v>388</v>
      </c>
      <c r="H53" s="93">
        <f>SUM(H48:H52)</f>
        <v>2375062.0666666664</v>
      </c>
    </row>
    <row r="55" spans="1:8" ht="12.75">
      <c r="A55" s="68" t="s">
        <v>498</v>
      </c>
      <c r="B55" s="45"/>
      <c r="C55" s="45"/>
      <c r="D55" s="45"/>
      <c r="E55" s="69"/>
      <c r="F55" s="69"/>
      <c r="G55" s="69"/>
      <c r="H55" s="68"/>
    </row>
    <row r="56" spans="2:8" ht="12.75">
      <c r="B56" s="78" t="s">
        <v>352</v>
      </c>
      <c r="D56" s="78" t="s">
        <v>266</v>
      </c>
      <c r="H56" s="79" t="s">
        <v>265</v>
      </c>
    </row>
    <row r="57" spans="2:8" ht="12.75">
      <c r="B57" t="s">
        <v>389</v>
      </c>
      <c r="G57" s="79"/>
      <c r="H57" s="102">
        <f>H32</f>
        <v>2252311.111111111</v>
      </c>
    </row>
    <row r="58" spans="2:8" ht="12.75">
      <c r="B58" t="s">
        <v>390</v>
      </c>
      <c r="H58" s="95">
        <f>H42</f>
        <v>1914464.4444444443</v>
      </c>
    </row>
    <row r="59" spans="1:8" ht="12.75">
      <c r="A59" s="87"/>
      <c r="B59" s="87" t="s">
        <v>391</v>
      </c>
      <c r="C59" s="87"/>
      <c r="D59" s="87"/>
      <c r="E59" s="87"/>
      <c r="F59" s="87"/>
      <c r="G59" s="87"/>
      <c r="H59" s="98">
        <f>H53</f>
        <v>2375062.0666666664</v>
      </c>
    </row>
    <row r="60" spans="7:8" ht="12.75">
      <c r="G60" s="92" t="s">
        <v>392</v>
      </c>
      <c r="H60" s="103">
        <f>SUM(H57:H59)</f>
        <v>6541837.622222221</v>
      </c>
    </row>
    <row r="61" ht="12.75">
      <c r="H61" s="96"/>
    </row>
  </sheetData>
  <sheetProtection password="FFAE" sheet="1" selectLockedCells="1"/>
  <printOptions/>
  <pageMargins left="0.75" right="0.75" top="1" bottom="1" header="0.5" footer="0.5"/>
  <pageSetup fitToHeight="1" fitToWidth="1" horizontalDpi="600" verticalDpi="600" orientation="portrait" scale="86" r:id="rId2"/>
  <drawing r:id="rId1"/>
</worksheet>
</file>

<file path=xl/worksheets/sheet14.xml><?xml version="1.0" encoding="utf-8"?>
<worksheet xmlns="http://schemas.openxmlformats.org/spreadsheetml/2006/main" xmlns:r="http://schemas.openxmlformats.org/officeDocument/2006/relationships">
  <sheetPr>
    <pageSetUpPr fitToPage="1"/>
  </sheetPr>
  <dimension ref="A1:H60"/>
  <sheetViews>
    <sheetView view="pageBreakPreview" zoomScaleSheetLayoutView="100" zoomScalePageLayoutView="0" workbookViewId="0" topLeftCell="A1">
      <selection activeCell="B6" sqref="B6"/>
    </sheetView>
  </sheetViews>
  <sheetFormatPr defaultColWidth="9.140625" defaultRowHeight="12.75"/>
  <cols>
    <col min="1" max="1" width="6.57421875" style="0" customWidth="1"/>
    <col min="2" max="2" width="24.7109375" style="0" customWidth="1"/>
    <col min="3" max="3" width="18.7109375" style="0" customWidth="1"/>
    <col min="4" max="4" width="13.8515625" style="0" customWidth="1"/>
    <col min="5" max="5" width="8.7109375" style="0" customWidth="1"/>
    <col min="6" max="6" width="5.8515625" style="0" customWidth="1"/>
    <col min="7" max="7" width="8.7109375" style="0" customWidth="1"/>
    <col min="8" max="8" width="12.57421875" style="0" customWidth="1"/>
    <col min="9" max="9" width="3.7109375" style="0" customWidth="1"/>
  </cols>
  <sheetData>
    <row r="1" spans="1:8" ht="17.25">
      <c r="A1" s="65" t="s">
        <v>333</v>
      </c>
      <c r="H1" s="66">
        <v>41102</v>
      </c>
    </row>
    <row r="2" ht="13.5">
      <c r="A2" s="67" t="s">
        <v>415</v>
      </c>
    </row>
    <row r="3" ht="13.5">
      <c r="A3" s="67" t="s">
        <v>258</v>
      </c>
    </row>
    <row r="5" spans="1:8" ht="12.75">
      <c r="A5" s="68" t="s">
        <v>259</v>
      </c>
      <c r="B5" s="45"/>
      <c r="C5" s="45"/>
      <c r="D5" s="69" t="s">
        <v>260</v>
      </c>
      <c r="E5" s="45"/>
      <c r="F5" s="69"/>
      <c r="G5" s="69" t="s">
        <v>334</v>
      </c>
      <c r="H5" s="68" t="s">
        <v>335</v>
      </c>
    </row>
    <row r="6" spans="1:2" ht="12.75">
      <c r="A6" s="70" t="s">
        <v>261</v>
      </c>
      <c r="B6" s="71" t="s">
        <v>406</v>
      </c>
    </row>
    <row r="7" spans="1:2" ht="12.75">
      <c r="A7" s="70" t="s">
        <v>262</v>
      </c>
      <c r="B7" s="71" t="s">
        <v>459</v>
      </c>
    </row>
    <row r="8" spans="2:3" ht="12.75">
      <c r="B8" s="72" t="s">
        <v>337</v>
      </c>
      <c r="C8" s="73" t="s">
        <v>38</v>
      </c>
    </row>
    <row r="9" spans="2:3" ht="12.75">
      <c r="B9" s="72" t="s">
        <v>338</v>
      </c>
      <c r="C9" s="73" t="s">
        <v>339</v>
      </c>
    </row>
    <row r="10" spans="2:3" ht="12.75">
      <c r="B10" s="72" t="s">
        <v>340</v>
      </c>
      <c r="C10" s="73" t="s">
        <v>407</v>
      </c>
    </row>
    <row r="11" spans="2:3" ht="12.75">
      <c r="B11" s="72" t="s">
        <v>342</v>
      </c>
      <c r="C11" s="74">
        <v>5280</v>
      </c>
    </row>
    <row r="12" spans="2:3" ht="12.75">
      <c r="B12" s="72" t="s">
        <v>343</v>
      </c>
      <c r="C12" s="74">
        <v>48</v>
      </c>
    </row>
    <row r="13" spans="2:3" ht="12.75">
      <c r="B13" s="72" t="s">
        <v>344</v>
      </c>
      <c r="C13" s="75">
        <v>1</v>
      </c>
    </row>
    <row r="14" spans="2:3" ht="12.75">
      <c r="B14" s="72" t="s">
        <v>345</v>
      </c>
      <c r="C14" s="76">
        <f>C11*C12*C13/9</f>
        <v>28160</v>
      </c>
    </row>
    <row r="15" spans="2:3" ht="12.75">
      <c r="B15" s="72" t="s">
        <v>346</v>
      </c>
      <c r="C15" s="74">
        <v>11</v>
      </c>
    </row>
    <row r="16" spans="2:3" ht="12.75">
      <c r="B16" s="72" t="s">
        <v>347</v>
      </c>
      <c r="C16" s="75">
        <v>0</v>
      </c>
    </row>
    <row r="17" spans="2:3" ht="12.75">
      <c r="B17" s="72" t="s">
        <v>348</v>
      </c>
      <c r="C17" s="77">
        <v>0</v>
      </c>
    </row>
    <row r="18" spans="2:3" ht="12.75">
      <c r="B18" s="72" t="s">
        <v>349</v>
      </c>
      <c r="C18" s="76">
        <f>C14*C17</f>
        <v>0</v>
      </c>
    </row>
    <row r="19" spans="2:3" ht="12.75">
      <c r="B19" s="72" t="s">
        <v>350</v>
      </c>
      <c r="C19" s="74">
        <v>5</v>
      </c>
    </row>
    <row r="20" spans="2:3" ht="12.75">
      <c r="B20" s="72" t="s">
        <v>351</v>
      </c>
      <c r="C20" s="75">
        <v>2</v>
      </c>
    </row>
    <row r="22" spans="1:8" ht="12.75">
      <c r="A22" s="68" t="s">
        <v>263</v>
      </c>
      <c r="B22" s="45"/>
      <c r="C22" s="45"/>
      <c r="D22" s="45"/>
      <c r="E22" s="69"/>
      <c r="F22" s="69"/>
      <c r="G22" s="69"/>
      <c r="H22" s="68"/>
    </row>
    <row r="23" spans="1:8" ht="12.75">
      <c r="A23" s="78" t="s">
        <v>352</v>
      </c>
      <c r="B23" s="78" t="s">
        <v>353</v>
      </c>
      <c r="C23" s="79" t="s">
        <v>354</v>
      </c>
      <c r="D23" s="78"/>
      <c r="E23" s="79" t="s">
        <v>264</v>
      </c>
      <c r="F23" s="79" t="s">
        <v>255</v>
      </c>
      <c r="G23" s="79" t="s">
        <v>355</v>
      </c>
      <c r="H23" s="79" t="s">
        <v>356</v>
      </c>
    </row>
    <row r="24" spans="2:8" ht="12.75">
      <c r="B24" t="s">
        <v>357</v>
      </c>
      <c r="C24" s="80">
        <f>C29+C30+C31</f>
        <v>21</v>
      </c>
      <c r="E24" s="81">
        <f>((C13*C11*(C12+C13*6))/9+C18)*C24/36</f>
        <v>18480</v>
      </c>
      <c r="F24" s="82" t="s">
        <v>358</v>
      </c>
      <c r="G24" s="83">
        <f>VLOOKUP($B$6,PayItems!A5:$E$19,5,FALSE)</f>
        <v>15</v>
      </c>
      <c r="H24" s="84">
        <f aca="true" t="shared" si="0" ref="H24:H31">G24*E24</f>
        <v>277200</v>
      </c>
    </row>
    <row r="25" spans="2:8" ht="12.75">
      <c r="B25" t="s">
        <v>359</v>
      </c>
      <c r="C25" s="75">
        <v>6</v>
      </c>
      <c r="E25" s="81">
        <f>C11*(C15*2+C16)*C25/(9*36)</f>
        <v>2151.1111111111113</v>
      </c>
      <c r="F25" s="82" t="s">
        <v>358</v>
      </c>
      <c r="G25" s="83">
        <f>VLOOKUP($B$6,PayItems!$A$20:$E$34,5,FALSE)</f>
        <v>10</v>
      </c>
      <c r="H25" s="84">
        <f t="shared" si="0"/>
        <v>21511.111111111113</v>
      </c>
    </row>
    <row r="26" spans="2:8" ht="12.75">
      <c r="B26" t="s">
        <v>360</v>
      </c>
      <c r="C26" s="75">
        <v>12</v>
      </c>
      <c r="E26" s="81">
        <f>C13*C11*(C12+6)*C26/(12*36)</f>
        <v>7920</v>
      </c>
      <c r="F26" s="82" t="s">
        <v>358</v>
      </c>
      <c r="G26" s="83">
        <f>VLOOKUP($B$6,PayItems!$A$35:$E$49,5,FALSE)</f>
        <v>20</v>
      </c>
      <c r="H26" s="84">
        <f t="shared" si="0"/>
        <v>158400</v>
      </c>
    </row>
    <row r="27" spans="2:8" ht="12.75">
      <c r="B27" t="s">
        <v>361</v>
      </c>
      <c r="C27" s="85"/>
      <c r="E27" s="81">
        <f>2*C13*C11</f>
        <v>10560</v>
      </c>
      <c r="F27" s="82" t="s">
        <v>362</v>
      </c>
      <c r="G27" s="83">
        <f>VLOOKUP($B$6,PayItems!$A$50:$E$64,5,FALSE)</f>
        <v>20</v>
      </c>
      <c r="H27" s="84">
        <f t="shared" si="0"/>
        <v>211200</v>
      </c>
    </row>
    <row r="28" spans="2:8" ht="12.75">
      <c r="B28" t="s">
        <v>363</v>
      </c>
      <c r="C28" s="85"/>
      <c r="E28" s="81">
        <f>C11*C20*C19</f>
        <v>52800</v>
      </c>
      <c r="F28" s="82" t="s">
        <v>364</v>
      </c>
      <c r="G28" s="83">
        <f>VLOOKUP($B$6,PayItems!$A$65:$E$79,5,FALSE)</f>
        <v>6</v>
      </c>
      <c r="H28" s="84">
        <f t="shared" si="0"/>
        <v>316800</v>
      </c>
    </row>
    <row r="29" spans="2:8" ht="12.75">
      <c r="B29" t="s">
        <v>365</v>
      </c>
      <c r="C29" s="75">
        <v>0</v>
      </c>
      <c r="E29" s="86">
        <f>((C13*C11*C12)/9+C18)*C29/36</f>
        <v>0</v>
      </c>
      <c r="F29" s="82" t="s">
        <v>358</v>
      </c>
      <c r="G29" s="83">
        <f>VLOOKUP($B$6,PayItems!$A$80:$E$94,5,FALSE)</f>
        <v>400</v>
      </c>
      <c r="H29" s="84">
        <f t="shared" si="0"/>
        <v>0</v>
      </c>
    </row>
    <row r="30" spans="2:8" ht="12.75">
      <c r="B30" t="s">
        <v>366</v>
      </c>
      <c r="C30" s="75">
        <v>5</v>
      </c>
      <c r="E30" s="81">
        <f>2*((C13*C11*(C12-3))/9+C18)*C30/36</f>
        <v>7333.333333333333</v>
      </c>
      <c r="F30" s="82" t="s">
        <v>367</v>
      </c>
      <c r="G30" s="83">
        <f>VLOOKUP($B$6,PayItems!$A$95:$E$109,5,FALSE)</f>
        <v>80</v>
      </c>
      <c r="H30" s="84">
        <f t="shared" si="0"/>
        <v>586666.6666666666</v>
      </c>
    </row>
    <row r="31" spans="1:8" ht="12.75">
      <c r="A31" s="87"/>
      <c r="B31" s="87" t="s">
        <v>368</v>
      </c>
      <c r="C31" s="75">
        <v>16</v>
      </c>
      <c r="D31" s="87"/>
      <c r="E31" s="88">
        <f>((C13*C11*(C12+6))/9+C18)*C31/36</f>
        <v>14080</v>
      </c>
      <c r="F31" s="89" t="s">
        <v>358</v>
      </c>
      <c r="G31" s="90">
        <f>VLOOKUP($B$6,PayItems!$A$110:$E$124,5,FALSE)</f>
        <v>15</v>
      </c>
      <c r="H31" s="91">
        <f t="shared" si="0"/>
        <v>211200</v>
      </c>
    </row>
    <row r="32" spans="7:8" ht="12.75">
      <c r="G32" s="92" t="s">
        <v>369</v>
      </c>
      <c r="H32" s="93">
        <f>SUM(H24:H31)</f>
        <v>1782977.7777777778</v>
      </c>
    </row>
    <row r="34" spans="1:8" ht="12.75">
      <c r="A34" s="68" t="s">
        <v>370</v>
      </c>
      <c r="B34" s="45"/>
      <c r="C34" s="45"/>
      <c r="D34" s="45"/>
      <c r="E34" s="69"/>
      <c r="F34" s="69"/>
      <c r="G34" s="69"/>
      <c r="H34" s="68"/>
    </row>
    <row r="35" spans="2:8" ht="12.75">
      <c r="B35" s="78" t="s">
        <v>353</v>
      </c>
      <c r="D35" s="78" t="s">
        <v>266</v>
      </c>
      <c r="G35" s="79" t="s">
        <v>267</v>
      </c>
      <c r="H35" s="79" t="s">
        <v>265</v>
      </c>
    </row>
    <row r="36" spans="2:8" ht="12.75">
      <c r="B36" t="s">
        <v>371</v>
      </c>
      <c r="D36" t="s">
        <v>372</v>
      </c>
      <c r="G36" s="94">
        <f>VLOOKUP($B$6,PayItems!$A$5:$H$19,8,FALSE)</f>
        <v>0.6</v>
      </c>
      <c r="H36" s="95">
        <f aca="true" t="shared" si="1" ref="H36:H41">H$32*G36</f>
        <v>1069786.6666666665</v>
      </c>
    </row>
    <row r="37" spans="2:8" ht="12.75">
      <c r="B37" t="s">
        <v>373</v>
      </c>
      <c r="G37" s="94">
        <f>VLOOKUP($B$6,PayItems!$A$20:$H$34,8,FALSE)</f>
        <v>0.1</v>
      </c>
      <c r="H37" s="95">
        <f t="shared" si="1"/>
        <v>178297.77777777778</v>
      </c>
    </row>
    <row r="38" spans="2:8" ht="12.75">
      <c r="B38" t="s">
        <v>374</v>
      </c>
      <c r="D38" s="96"/>
      <c r="G38" s="94">
        <v>0.05</v>
      </c>
      <c r="H38" s="95">
        <f t="shared" si="1"/>
        <v>89148.88888888889</v>
      </c>
    </row>
    <row r="39" spans="2:8" ht="12.75">
      <c r="B39" t="s">
        <v>268</v>
      </c>
      <c r="G39" s="94">
        <f>VLOOKUP($B$6,PayItems!$A$50:$H$64,8,FALSE)</f>
        <v>0</v>
      </c>
      <c r="H39" s="95">
        <f t="shared" si="1"/>
        <v>0</v>
      </c>
    </row>
    <row r="40" spans="2:8" ht="12.75">
      <c r="B40" t="s">
        <v>375</v>
      </c>
      <c r="G40" s="94">
        <f>VLOOKUP($B$6,PayItems!$A$65:$H$79,8,FALSE)</f>
        <v>0.06</v>
      </c>
      <c r="H40" s="95">
        <f t="shared" si="1"/>
        <v>106978.66666666666</v>
      </c>
    </row>
    <row r="41" spans="1:8" ht="12.75">
      <c r="A41" s="87"/>
      <c r="B41" s="87" t="s">
        <v>376</v>
      </c>
      <c r="C41" s="87"/>
      <c r="D41" s="87"/>
      <c r="E41" s="87"/>
      <c r="F41" s="87"/>
      <c r="G41" s="97">
        <f>VLOOKUP($B$6,PayItems!$A$80:$H$94,8,FALSE)</f>
        <v>0.04</v>
      </c>
      <c r="H41" s="98">
        <f t="shared" si="1"/>
        <v>71319.11111111111</v>
      </c>
    </row>
    <row r="42" spans="7:8" ht="12.75">
      <c r="G42" s="92" t="s">
        <v>377</v>
      </c>
      <c r="H42" s="93">
        <f>SUM(H36:H41)</f>
        <v>1515531.111111111</v>
      </c>
    </row>
    <row r="43" spans="1:8" ht="13.5" thickBot="1">
      <c r="A43" s="99"/>
      <c r="B43" s="99"/>
      <c r="C43" s="99"/>
      <c r="D43" s="99"/>
      <c r="E43" s="99"/>
      <c r="F43" s="99"/>
      <c r="G43" s="99"/>
      <c r="H43" s="99"/>
    </row>
    <row r="44" spans="7:8" ht="12.75">
      <c r="G44" s="100" t="s">
        <v>378</v>
      </c>
      <c r="H44" s="101">
        <f>H32+H42</f>
        <v>3298508.888888889</v>
      </c>
    </row>
    <row r="46" spans="1:8" ht="12.75">
      <c r="A46" s="68" t="s">
        <v>379</v>
      </c>
      <c r="B46" s="45"/>
      <c r="C46" s="45"/>
      <c r="D46" s="45"/>
      <c r="E46" s="69"/>
      <c r="F46" s="69"/>
      <c r="G46" s="69"/>
      <c r="H46" s="68"/>
    </row>
    <row r="47" spans="2:8" ht="12.75">
      <c r="B47" s="78" t="s">
        <v>353</v>
      </c>
      <c r="D47" s="78" t="s">
        <v>266</v>
      </c>
      <c r="G47" s="79" t="s">
        <v>267</v>
      </c>
      <c r="H47" s="79" t="s">
        <v>265</v>
      </c>
    </row>
    <row r="48" spans="2:8" ht="12.75">
      <c r="B48" t="s">
        <v>380</v>
      </c>
      <c r="D48" t="s">
        <v>381</v>
      </c>
      <c r="G48" s="94">
        <f>VLOOKUP($B$6,PayItems!A5:$K$19,11,FALSE)</f>
        <v>0.25</v>
      </c>
      <c r="H48" s="95">
        <f>H$44*G48</f>
        <v>824627.2222222222</v>
      </c>
    </row>
    <row r="49" spans="2:8" ht="12.75">
      <c r="B49" t="s">
        <v>382</v>
      </c>
      <c r="D49" t="s">
        <v>383</v>
      </c>
      <c r="G49" s="94">
        <f>VLOOKUP($B$6,PayItems!$A$20:$K$34,11,FALSE)</f>
        <v>0.12</v>
      </c>
      <c r="H49" s="95">
        <f>H$44*G49</f>
        <v>395821.06666666665</v>
      </c>
    </row>
    <row r="50" spans="2:8" ht="12.75">
      <c r="B50" t="s">
        <v>384</v>
      </c>
      <c r="D50" t="s">
        <v>385</v>
      </c>
      <c r="G50" s="94">
        <f>VLOOKUP($B$6,PayItems!$A$35:$K$49,11,FALSE)</f>
        <v>0.05</v>
      </c>
      <c r="H50" s="95">
        <f>H$44*G50</f>
        <v>164925.44444444447</v>
      </c>
    </row>
    <row r="51" spans="2:8" ht="12.75">
      <c r="B51" t="s">
        <v>386</v>
      </c>
      <c r="G51" s="94">
        <f>VLOOKUP($B$6,PayItems!$A$50:$K$64,11,FALSE)</f>
        <v>0.15</v>
      </c>
      <c r="H51" s="95">
        <f>H$44*G51</f>
        <v>494776.3333333333</v>
      </c>
    </row>
    <row r="52" spans="1:8" ht="12.75">
      <c r="A52" s="87"/>
      <c r="B52" s="87" t="s">
        <v>387</v>
      </c>
      <c r="C52" s="87"/>
      <c r="D52" s="87"/>
      <c r="E52" s="87"/>
      <c r="F52" s="87"/>
      <c r="G52" s="97">
        <f>VLOOKUP($B$6,PayItems!$A$65:$K$79,11,FALSE)</f>
        <v>0</v>
      </c>
      <c r="H52" s="98">
        <f>H$57*G52</f>
        <v>0</v>
      </c>
    </row>
    <row r="53" spans="7:8" ht="12.75">
      <c r="G53" s="92" t="s">
        <v>388</v>
      </c>
      <c r="H53" s="93">
        <f>SUM(H48:H52)</f>
        <v>1880150.0666666667</v>
      </c>
    </row>
    <row r="55" spans="1:8" ht="12.75">
      <c r="A55" s="68" t="s">
        <v>498</v>
      </c>
      <c r="B55" s="45"/>
      <c r="C55" s="45"/>
      <c r="D55" s="45"/>
      <c r="E55" s="69"/>
      <c r="F55" s="69"/>
      <c r="G55" s="69"/>
      <c r="H55" s="68"/>
    </row>
    <row r="56" spans="2:8" ht="12.75">
      <c r="B56" s="78" t="s">
        <v>352</v>
      </c>
      <c r="D56" s="78" t="s">
        <v>266</v>
      </c>
      <c r="H56" s="79" t="s">
        <v>265</v>
      </c>
    </row>
    <row r="57" spans="2:8" ht="12.75">
      <c r="B57" t="s">
        <v>389</v>
      </c>
      <c r="G57" s="79"/>
      <c r="H57" s="102">
        <f>H32</f>
        <v>1782977.7777777778</v>
      </c>
    </row>
    <row r="58" spans="2:8" ht="12.75">
      <c r="B58" t="s">
        <v>390</v>
      </c>
      <c r="H58" s="95">
        <f>H42</f>
        <v>1515531.111111111</v>
      </c>
    </row>
    <row r="59" spans="1:8" ht="12.75">
      <c r="A59" s="87"/>
      <c r="B59" s="87" t="s">
        <v>391</v>
      </c>
      <c r="C59" s="87"/>
      <c r="D59" s="87"/>
      <c r="E59" s="87"/>
      <c r="F59" s="87"/>
      <c r="G59" s="87"/>
      <c r="H59" s="98">
        <f>H53</f>
        <v>1880150.0666666667</v>
      </c>
    </row>
    <row r="60" spans="7:8" ht="12.75">
      <c r="G60" s="92" t="s">
        <v>392</v>
      </c>
      <c r="H60" s="103">
        <f>SUM(H57:H59)</f>
        <v>5178658.955555555</v>
      </c>
    </row>
  </sheetData>
  <sheetProtection password="FFAE" sheet="1" selectLockedCells="1"/>
  <printOptions/>
  <pageMargins left="0.75" right="0.75" top="1" bottom="1" header="0.5" footer="0.5"/>
  <pageSetup fitToHeight="1" fitToWidth="1" horizontalDpi="600" verticalDpi="600" orientation="portrait" scale="86" r:id="rId2"/>
  <drawing r:id="rId1"/>
</worksheet>
</file>

<file path=xl/worksheets/sheet15.xml><?xml version="1.0" encoding="utf-8"?>
<worksheet xmlns="http://schemas.openxmlformats.org/spreadsheetml/2006/main" xmlns:r="http://schemas.openxmlformats.org/officeDocument/2006/relationships">
  <sheetPr>
    <pageSetUpPr fitToPage="1"/>
  </sheetPr>
  <dimension ref="A1:H60"/>
  <sheetViews>
    <sheetView view="pageBreakPreview" zoomScaleSheetLayoutView="100" zoomScalePageLayoutView="0" workbookViewId="0" topLeftCell="A1">
      <selection activeCell="B6" sqref="B6"/>
    </sheetView>
  </sheetViews>
  <sheetFormatPr defaultColWidth="9.140625" defaultRowHeight="12.75"/>
  <cols>
    <col min="1" max="1" width="6.57421875" style="0" customWidth="1"/>
    <col min="2" max="2" width="24.7109375" style="0" customWidth="1"/>
    <col min="3" max="3" width="18.7109375" style="0" customWidth="1"/>
    <col min="4" max="4" width="13.8515625" style="0" customWidth="1"/>
    <col min="5" max="5" width="8.7109375" style="0" customWidth="1"/>
    <col min="6" max="6" width="5.8515625" style="0" customWidth="1"/>
    <col min="7" max="7" width="8.7109375" style="0" customWidth="1"/>
    <col min="8" max="8" width="12.57421875" style="0" customWidth="1"/>
    <col min="9" max="9" width="3.7109375" style="0" customWidth="1"/>
  </cols>
  <sheetData>
    <row r="1" spans="1:8" ht="17.25">
      <c r="A1" s="65" t="s">
        <v>333</v>
      </c>
      <c r="H1" s="66">
        <v>41102</v>
      </c>
    </row>
    <row r="2" ht="13.5">
      <c r="A2" s="67" t="s">
        <v>415</v>
      </c>
    </row>
    <row r="3" ht="13.5">
      <c r="A3" s="67" t="s">
        <v>258</v>
      </c>
    </row>
    <row r="5" spans="1:8" ht="12.75">
      <c r="A5" s="68" t="s">
        <v>259</v>
      </c>
      <c r="B5" s="45"/>
      <c r="C5" s="45"/>
      <c r="D5" s="69" t="s">
        <v>260</v>
      </c>
      <c r="E5" s="45"/>
      <c r="F5" s="69"/>
      <c r="G5" s="69" t="s">
        <v>334</v>
      </c>
      <c r="H5" s="68" t="s">
        <v>335</v>
      </c>
    </row>
    <row r="6" spans="1:2" ht="12.75">
      <c r="A6" s="70" t="s">
        <v>261</v>
      </c>
      <c r="B6" s="71" t="s">
        <v>408</v>
      </c>
    </row>
    <row r="7" spans="1:2" ht="12.75">
      <c r="A7" s="70" t="s">
        <v>262</v>
      </c>
      <c r="B7" s="71" t="s">
        <v>459</v>
      </c>
    </row>
    <row r="8" spans="2:3" ht="12.75">
      <c r="B8" s="72" t="s">
        <v>337</v>
      </c>
      <c r="C8" s="73" t="s">
        <v>38</v>
      </c>
    </row>
    <row r="9" spans="2:3" ht="12.75">
      <c r="B9" s="72" t="s">
        <v>338</v>
      </c>
      <c r="C9" s="73" t="s">
        <v>339</v>
      </c>
    </row>
    <row r="10" spans="2:3" ht="12.75">
      <c r="B10" s="72" t="s">
        <v>340</v>
      </c>
      <c r="C10" s="73" t="s">
        <v>407</v>
      </c>
    </row>
    <row r="11" spans="2:3" ht="12.75">
      <c r="B11" s="72" t="s">
        <v>342</v>
      </c>
      <c r="C11" s="74">
        <v>5280</v>
      </c>
    </row>
    <row r="12" spans="2:3" ht="12.75">
      <c r="B12" s="72" t="s">
        <v>343</v>
      </c>
      <c r="C12" s="74">
        <v>60</v>
      </c>
    </row>
    <row r="13" spans="2:3" ht="12.75">
      <c r="B13" s="72" t="s">
        <v>344</v>
      </c>
      <c r="C13" s="75">
        <v>1</v>
      </c>
    </row>
    <row r="14" spans="2:3" ht="12.75">
      <c r="B14" s="72" t="s">
        <v>345</v>
      </c>
      <c r="C14" s="76">
        <f>C11*C12*C13/9</f>
        <v>35200</v>
      </c>
    </row>
    <row r="15" spans="2:3" ht="12.75">
      <c r="B15" s="72" t="s">
        <v>346</v>
      </c>
      <c r="C15" s="74">
        <v>15</v>
      </c>
    </row>
    <row r="16" spans="2:3" ht="12.75">
      <c r="B16" s="72" t="s">
        <v>347</v>
      </c>
      <c r="C16" s="75">
        <v>0</v>
      </c>
    </row>
    <row r="17" spans="2:3" ht="12.75">
      <c r="B17" s="72" t="s">
        <v>348</v>
      </c>
      <c r="C17" s="77">
        <v>0</v>
      </c>
    </row>
    <row r="18" spans="2:3" ht="12.75">
      <c r="B18" s="72" t="s">
        <v>349</v>
      </c>
      <c r="C18" s="76">
        <f>C14*C17</f>
        <v>0</v>
      </c>
    </row>
    <row r="19" spans="2:3" ht="12.75">
      <c r="B19" s="72" t="s">
        <v>350</v>
      </c>
      <c r="C19" s="74">
        <v>5</v>
      </c>
    </row>
    <row r="20" spans="2:3" ht="12.75">
      <c r="B20" s="72" t="s">
        <v>351</v>
      </c>
      <c r="C20" s="75">
        <v>2</v>
      </c>
    </row>
    <row r="22" spans="1:8" ht="12.75">
      <c r="A22" s="68" t="s">
        <v>263</v>
      </c>
      <c r="B22" s="45"/>
      <c r="C22" s="45"/>
      <c r="D22" s="45"/>
      <c r="E22" s="69"/>
      <c r="F22" s="69"/>
      <c r="G22" s="69"/>
      <c r="H22" s="68"/>
    </row>
    <row r="23" spans="1:8" ht="12.75">
      <c r="A23" s="78" t="s">
        <v>352</v>
      </c>
      <c r="B23" s="78" t="s">
        <v>353</v>
      </c>
      <c r="C23" s="79" t="s">
        <v>354</v>
      </c>
      <c r="D23" s="78"/>
      <c r="E23" s="79" t="s">
        <v>264</v>
      </c>
      <c r="F23" s="79" t="s">
        <v>255</v>
      </c>
      <c r="G23" s="79" t="s">
        <v>355</v>
      </c>
      <c r="H23" s="79" t="s">
        <v>356</v>
      </c>
    </row>
    <row r="24" spans="2:8" ht="12.75">
      <c r="B24" t="s">
        <v>357</v>
      </c>
      <c r="C24" s="80">
        <f>C29+C30+C31</f>
        <v>21</v>
      </c>
      <c r="E24" s="81">
        <f>((C13*C11*(C12+C13*6))/9+C18)*C24/36</f>
        <v>22586.666666666668</v>
      </c>
      <c r="F24" s="82" t="s">
        <v>358</v>
      </c>
      <c r="G24" s="83">
        <f>VLOOKUP($B$6,PayItems!A5:$E$19,5,FALSE)</f>
        <v>15</v>
      </c>
      <c r="H24" s="84">
        <f aca="true" t="shared" si="0" ref="H24:H31">G24*E24</f>
        <v>338800</v>
      </c>
    </row>
    <row r="25" spans="2:8" ht="12.75">
      <c r="B25" t="s">
        <v>359</v>
      </c>
      <c r="C25" s="75">
        <v>6</v>
      </c>
      <c r="E25" s="81">
        <f>C11*(C15*2+C16)*C25/(9*36)</f>
        <v>2933.3333333333335</v>
      </c>
      <c r="F25" s="82" t="s">
        <v>358</v>
      </c>
      <c r="G25" s="83">
        <f>VLOOKUP($B$6,PayItems!$A$20:$E$34,5,FALSE)</f>
        <v>10</v>
      </c>
      <c r="H25" s="84">
        <f t="shared" si="0"/>
        <v>29333.333333333336</v>
      </c>
    </row>
    <row r="26" spans="2:8" ht="12.75">
      <c r="B26" t="s">
        <v>360</v>
      </c>
      <c r="C26" s="75">
        <v>12</v>
      </c>
      <c r="E26" s="81">
        <f>C13*C11*(C12+6)*C26/(12*36)</f>
        <v>9680</v>
      </c>
      <c r="F26" s="82" t="s">
        <v>358</v>
      </c>
      <c r="G26" s="83">
        <f>VLOOKUP($B$6,PayItems!$A$35:$E$49,5,FALSE)</f>
        <v>20</v>
      </c>
      <c r="H26" s="84">
        <f t="shared" si="0"/>
        <v>193600</v>
      </c>
    </row>
    <row r="27" spans="2:8" ht="12.75">
      <c r="B27" t="s">
        <v>361</v>
      </c>
      <c r="C27" s="85"/>
      <c r="E27" s="81">
        <f>2*C13*C11</f>
        <v>10560</v>
      </c>
      <c r="F27" s="82" t="s">
        <v>362</v>
      </c>
      <c r="G27" s="83">
        <f>VLOOKUP($B$6,PayItems!$A$50:$E$64,5,FALSE)</f>
        <v>20</v>
      </c>
      <c r="H27" s="84">
        <f t="shared" si="0"/>
        <v>211200</v>
      </c>
    </row>
    <row r="28" spans="2:8" ht="12.75">
      <c r="B28" t="s">
        <v>363</v>
      </c>
      <c r="C28" s="85"/>
      <c r="E28" s="81">
        <f>C11*C20*C19</f>
        <v>52800</v>
      </c>
      <c r="F28" s="82" t="s">
        <v>364</v>
      </c>
      <c r="G28" s="83">
        <f>VLOOKUP($B$6,PayItems!$A$65:$E$79,5,FALSE)</f>
        <v>6</v>
      </c>
      <c r="H28" s="84">
        <f t="shared" si="0"/>
        <v>316800</v>
      </c>
    </row>
    <row r="29" spans="2:8" ht="12.75">
      <c r="B29" t="s">
        <v>365</v>
      </c>
      <c r="C29" s="75">
        <v>0</v>
      </c>
      <c r="E29" s="86">
        <f>((C13*C11*C12)/9+C18)*C29/36</f>
        <v>0</v>
      </c>
      <c r="F29" s="82" t="s">
        <v>358</v>
      </c>
      <c r="G29" s="83">
        <f>VLOOKUP($B$6,PayItems!$A$80:$E$94,5,FALSE)</f>
        <v>400</v>
      </c>
      <c r="H29" s="84">
        <f t="shared" si="0"/>
        <v>0</v>
      </c>
    </row>
    <row r="30" spans="2:8" ht="12.75">
      <c r="B30" t="s">
        <v>366</v>
      </c>
      <c r="C30" s="75">
        <v>5</v>
      </c>
      <c r="E30" s="81">
        <f>2*((C13*C11*(C12-3))/9+C18)*C30/36</f>
        <v>9288.888888888889</v>
      </c>
      <c r="F30" s="82" t="s">
        <v>367</v>
      </c>
      <c r="G30" s="83">
        <f>VLOOKUP($B$6,PayItems!$A$95:$E$109,5,FALSE)</f>
        <v>80</v>
      </c>
      <c r="H30" s="84">
        <f t="shared" si="0"/>
        <v>743111.1111111111</v>
      </c>
    </row>
    <row r="31" spans="1:8" ht="12.75">
      <c r="A31" s="87"/>
      <c r="B31" s="87" t="s">
        <v>368</v>
      </c>
      <c r="C31" s="75">
        <v>16</v>
      </c>
      <c r="D31" s="87"/>
      <c r="E31" s="88">
        <f>((C13*C11*(C12+6))/9+C18)*C31/36</f>
        <v>17208.88888888889</v>
      </c>
      <c r="F31" s="89" t="s">
        <v>358</v>
      </c>
      <c r="G31" s="90">
        <f>VLOOKUP($B$6,PayItems!$A$110:$E$124,5,FALSE)</f>
        <v>15</v>
      </c>
      <c r="H31" s="91">
        <f t="shared" si="0"/>
        <v>258133.33333333337</v>
      </c>
    </row>
    <row r="32" spans="7:8" ht="12.75">
      <c r="G32" s="92" t="s">
        <v>369</v>
      </c>
      <c r="H32" s="93">
        <f>SUM(H24:H31)</f>
        <v>2090977.777777778</v>
      </c>
    </row>
    <row r="34" spans="1:8" ht="12.75">
      <c r="A34" s="68" t="s">
        <v>370</v>
      </c>
      <c r="B34" s="45"/>
      <c r="C34" s="45"/>
      <c r="D34" s="45"/>
      <c r="E34" s="69"/>
      <c r="F34" s="69"/>
      <c r="G34" s="69"/>
      <c r="H34" s="68"/>
    </row>
    <row r="35" spans="2:8" ht="12.75">
      <c r="B35" s="78" t="s">
        <v>353</v>
      </c>
      <c r="D35" s="78" t="s">
        <v>266</v>
      </c>
      <c r="G35" s="79" t="s">
        <v>267</v>
      </c>
      <c r="H35" s="79" t="s">
        <v>265</v>
      </c>
    </row>
    <row r="36" spans="2:8" ht="12.75">
      <c r="B36" t="s">
        <v>371</v>
      </c>
      <c r="D36" t="s">
        <v>372</v>
      </c>
      <c r="G36" s="94">
        <f>VLOOKUP($B$6,PayItems!$A$5:$H$19,8,FALSE)</f>
        <v>0.6</v>
      </c>
      <c r="H36" s="95">
        <f aca="true" t="shared" si="1" ref="H36:H41">H$32*G36</f>
        <v>1254586.6666666667</v>
      </c>
    </row>
    <row r="37" spans="2:8" ht="12.75">
      <c r="B37" t="s">
        <v>373</v>
      </c>
      <c r="G37" s="94">
        <f>VLOOKUP($B$6,PayItems!$A$20:$H$34,8,FALSE)</f>
        <v>0.1</v>
      </c>
      <c r="H37" s="95">
        <f t="shared" si="1"/>
        <v>209097.7777777778</v>
      </c>
    </row>
    <row r="38" spans="2:8" ht="12.75">
      <c r="B38" t="s">
        <v>374</v>
      </c>
      <c r="D38" s="96"/>
      <c r="G38" s="94">
        <v>0.05</v>
      </c>
      <c r="H38" s="95">
        <f t="shared" si="1"/>
        <v>104548.8888888889</v>
      </c>
    </row>
    <row r="39" spans="2:8" ht="12.75">
      <c r="B39" t="s">
        <v>268</v>
      </c>
      <c r="G39" s="94">
        <f>VLOOKUP($B$6,PayItems!$A$50:$H$64,8,FALSE)</f>
        <v>0</v>
      </c>
      <c r="H39" s="95">
        <f t="shared" si="1"/>
        <v>0</v>
      </c>
    </row>
    <row r="40" spans="2:8" ht="12.75">
      <c r="B40" t="s">
        <v>375</v>
      </c>
      <c r="G40" s="94">
        <f>VLOOKUP($B$6,PayItems!$A$65:$H$79,8,FALSE)</f>
        <v>0.06</v>
      </c>
      <c r="H40" s="95">
        <f t="shared" si="1"/>
        <v>125458.66666666667</v>
      </c>
    </row>
    <row r="41" spans="1:8" ht="12.75">
      <c r="A41" s="87"/>
      <c r="B41" s="87" t="s">
        <v>376</v>
      </c>
      <c r="C41" s="87"/>
      <c r="D41" s="87"/>
      <c r="E41" s="87"/>
      <c r="F41" s="87"/>
      <c r="G41" s="97">
        <f>VLOOKUP($B$6,PayItems!$A$80:$H$94,8,FALSE)</f>
        <v>0.04</v>
      </c>
      <c r="H41" s="98">
        <f t="shared" si="1"/>
        <v>83639.11111111112</v>
      </c>
    </row>
    <row r="42" spans="7:8" ht="12.75">
      <c r="G42" s="92" t="s">
        <v>377</v>
      </c>
      <c r="H42" s="93">
        <f>SUM(H36:H41)</f>
        <v>1777331.1111111115</v>
      </c>
    </row>
    <row r="43" spans="1:8" ht="13.5" thickBot="1">
      <c r="A43" s="99"/>
      <c r="B43" s="99"/>
      <c r="C43" s="99"/>
      <c r="D43" s="99"/>
      <c r="E43" s="99"/>
      <c r="F43" s="99"/>
      <c r="G43" s="99"/>
      <c r="H43" s="99"/>
    </row>
    <row r="44" spans="7:8" ht="12.75">
      <c r="G44" s="100" t="s">
        <v>378</v>
      </c>
      <c r="H44" s="101">
        <f>H32+H42</f>
        <v>3868308.8888888895</v>
      </c>
    </row>
    <row r="46" spans="1:8" ht="12.75">
      <c r="A46" s="68" t="s">
        <v>379</v>
      </c>
      <c r="B46" s="45"/>
      <c r="C46" s="45"/>
      <c r="D46" s="45"/>
      <c r="E46" s="69"/>
      <c r="F46" s="69"/>
      <c r="G46" s="69"/>
      <c r="H46" s="68"/>
    </row>
    <row r="47" spans="2:8" ht="12.75">
      <c r="B47" s="78" t="s">
        <v>353</v>
      </c>
      <c r="D47" s="78" t="s">
        <v>266</v>
      </c>
      <c r="G47" s="79" t="s">
        <v>267</v>
      </c>
      <c r="H47" s="79" t="s">
        <v>265</v>
      </c>
    </row>
    <row r="48" spans="2:8" ht="12.75">
      <c r="B48" t="s">
        <v>380</v>
      </c>
      <c r="D48" t="s">
        <v>381</v>
      </c>
      <c r="G48" s="94">
        <f>VLOOKUP($B$6,PayItems!A5:$K$19,11,FALSE)</f>
        <v>0.25</v>
      </c>
      <c r="H48" s="95">
        <f>H$44*G48</f>
        <v>967077.2222222224</v>
      </c>
    </row>
    <row r="49" spans="2:8" ht="12.75">
      <c r="B49" t="s">
        <v>382</v>
      </c>
      <c r="D49" t="s">
        <v>383</v>
      </c>
      <c r="G49" s="94">
        <f>VLOOKUP($B$6,PayItems!$A$20:$K$34,11,FALSE)</f>
        <v>0.12</v>
      </c>
      <c r="H49" s="95">
        <f>H$44*G49</f>
        <v>464197.0666666667</v>
      </c>
    </row>
    <row r="50" spans="2:8" ht="12.75">
      <c r="B50" t="s">
        <v>384</v>
      </c>
      <c r="D50" t="s">
        <v>385</v>
      </c>
      <c r="G50" s="94">
        <f>VLOOKUP($B$6,PayItems!$A$35:$K$49,11,FALSE)</f>
        <v>0.05</v>
      </c>
      <c r="H50" s="95">
        <f>H$44*G50</f>
        <v>193415.4444444445</v>
      </c>
    </row>
    <row r="51" spans="2:8" ht="12.75">
      <c r="B51" t="s">
        <v>386</v>
      </c>
      <c r="G51" s="94">
        <f>VLOOKUP($B$6,PayItems!$A$50:$K$64,11,FALSE)</f>
        <v>0.15</v>
      </c>
      <c r="H51" s="95">
        <f>H$44*G51</f>
        <v>580246.3333333334</v>
      </c>
    </row>
    <row r="52" spans="1:8" ht="12.75">
      <c r="A52" s="87"/>
      <c r="B52" s="87" t="s">
        <v>387</v>
      </c>
      <c r="C52" s="87"/>
      <c r="D52" s="87"/>
      <c r="E52" s="87"/>
      <c r="F52" s="87"/>
      <c r="G52" s="97">
        <f>VLOOKUP($B$6,PayItems!$A$65:$K$79,11,FALSE)</f>
        <v>0</v>
      </c>
      <c r="H52" s="98">
        <f>H$57*G52</f>
        <v>0</v>
      </c>
    </row>
    <row r="53" spans="7:8" ht="12.75">
      <c r="G53" s="92" t="s">
        <v>388</v>
      </c>
      <c r="H53" s="93">
        <f>SUM(H48:H52)</f>
        <v>2204936.066666667</v>
      </c>
    </row>
    <row r="55" spans="1:8" ht="12.75">
      <c r="A55" s="68" t="s">
        <v>498</v>
      </c>
      <c r="B55" s="45"/>
      <c r="C55" s="45"/>
      <c r="D55" s="45"/>
      <c r="E55" s="69"/>
      <c r="F55" s="69"/>
      <c r="G55" s="69"/>
      <c r="H55" s="68"/>
    </row>
    <row r="56" spans="2:8" ht="12.75">
      <c r="B56" s="78" t="s">
        <v>352</v>
      </c>
      <c r="D56" s="78" t="s">
        <v>266</v>
      </c>
      <c r="H56" s="79" t="s">
        <v>265</v>
      </c>
    </row>
    <row r="57" spans="2:8" ht="12.75">
      <c r="B57" t="s">
        <v>389</v>
      </c>
      <c r="G57" s="79"/>
      <c r="H57" s="102">
        <f>H32</f>
        <v>2090977.777777778</v>
      </c>
    </row>
    <row r="58" spans="2:8" ht="12.75">
      <c r="B58" t="s">
        <v>390</v>
      </c>
      <c r="H58" s="95">
        <f>H42</f>
        <v>1777331.1111111115</v>
      </c>
    </row>
    <row r="59" spans="1:8" ht="12.75">
      <c r="A59" s="87"/>
      <c r="B59" s="87" t="s">
        <v>391</v>
      </c>
      <c r="C59" s="87"/>
      <c r="D59" s="87"/>
      <c r="E59" s="87"/>
      <c r="F59" s="87"/>
      <c r="G59" s="87"/>
      <c r="H59" s="98">
        <f>H53</f>
        <v>2204936.066666667</v>
      </c>
    </row>
    <row r="60" spans="7:8" ht="12.75">
      <c r="G60" s="92" t="s">
        <v>392</v>
      </c>
      <c r="H60" s="103">
        <f>SUM(H57:H59)</f>
        <v>6073244.955555556</v>
      </c>
    </row>
  </sheetData>
  <sheetProtection password="FFAE" sheet="1" selectLockedCells="1"/>
  <printOptions/>
  <pageMargins left="0.75" right="0.75" top="1" bottom="1" header="0.5" footer="0.5"/>
  <pageSetup fitToHeight="1" fitToWidth="1" horizontalDpi="600" verticalDpi="600" orientation="portrait" scale="86" r:id="rId2"/>
  <drawing r:id="rId1"/>
</worksheet>
</file>

<file path=xl/worksheets/sheet16.xml><?xml version="1.0" encoding="utf-8"?>
<worksheet xmlns="http://schemas.openxmlformats.org/spreadsheetml/2006/main" xmlns:r="http://schemas.openxmlformats.org/officeDocument/2006/relationships">
  <sheetPr>
    <pageSetUpPr fitToPage="1"/>
  </sheetPr>
  <dimension ref="A1:H61"/>
  <sheetViews>
    <sheetView view="pageBreakPreview" zoomScaleSheetLayoutView="100" zoomScalePageLayoutView="0" workbookViewId="0" topLeftCell="A1">
      <selection activeCell="B6" sqref="B6"/>
    </sheetView>
  </sheetViews>
  <sheetFormatPr defaultColWidth="9.140625" defaultRowHeight="12.75"/>
  <cols>
    <col min="1" max="1" width="6.57421875" style="0" customWidth="1"/>
    <col min="2" max="2" width="24.7109375" style="0" customWidth="1"/>
    <col min="3" max="3" width="18.7109375" style="0" customWidth="1"/>
    <col min="4" max="4" width="13.8515625" style="0" customWidth="1"/>
    <col min="5" max="5" width="8.7109375" style="0" customWidth="1"/>
    <col min="6" max="6" width="5.8515625" style="0" customWidth="1"/>
    <col min="7" max="7" width="8.7109375" style="0" customWidth="1"/>
    <col min="8" max="8" width="12.57421875" style="0" customWidth="1"/>
    <col min="9" max="9" width="3.7109375" style="0" customWidth="1"/>
  </cols>
  <sheetData>
    <row r="1" spans="1:8" ht="17.25">
      <c r="A1" s="65" t="s">
        <v>333</v>
      </c>
      <c r="H1" s="66">
        <v>41102</v>
      </c>
    </row>
    <row r="2" ht="13.5">
      <c r="A2" s="67" t="s">
        <v>415</v>
      </c>
    </row>
    <row r="3" ht="13.5">
      <c r="A3" s="67" t="s">
        <v>258</v>
      </c>
    </row>
    <row r="5" spans="1:8" ht="12.75">
      <c r="A5" s="68" t="s">
        <v>259</v>
      </c>
      <c r="B5" s="45"/>
      <c r="C5" s="45"/>
      <c r="D5" s="69" t="s">
        <v>260</v>
      </c>
      <c r="E5" s="45"/>
      <c r="F5" s="69"/>
      <c r="G5" s="69" t="s">
        <v>334</v>
      </c>
      <c r="H5" s="68" t="s">
        <v>335</v>
      </c>
    </row>
    <row r="6" spans="1:2" ht="12.75">
      <c r="A6" s="70" t="s">
        <v>261</v>
      </c>
      <c r="B6" s="71" t="s">
        <v>483</v>
      </c>
    </row>
    <row r="7" spans="1:2" ht="12.75">
      <c r="A7" s="70" t="s">
        <v>262</v>
      </c>
      <c r="B7" s="71" t="s">
        <v>459</v>
      </c>
    </row>
    <row r="8" spans="2:3" ht="12.75">
      <c r="B8" s="72" t="s">
        <v>337</v>
      </c>
      <c r="C8" s="73" t="s">
        <v>38</v>
      </c>
    </row>
    <row r="9" spans="2:3" ht="12.75">
      <c r="B9" s="72" t="s">
        <v>338</v>
      </c>
      <c r="C9" s="73" t="s">
        <v>339</v>
      </c>
    </row>
    <row r="10" spans="2:3" ht="12.75">
      <c r="B10" s="72" t="s">
        <v>340</v>
      </c>
      <c r="C10" s="73" t="s">
        <v>484</v>
      </c>
    </row>
    <row r="11" spans="2:3" ht="12.75">
      <c r="B11" s="72" t="s">
        <v>342</v>
      </c>
      <c r="C11" s="74">
        <v>5280</v>
      </c>
    </row>
    <row r="12" spans="2:3" ht="12.75">
      <c r="B12" s="72" t="s">
        <v>343</v>
      </c>
      <c r="C12" s="74">
        <v>27</v>
      </c>
    </row>
    <row r="13" spans="2:3" ht="12.75">
      <c r="B13" s="72" t="s">
        <v>344</v>
      </c>
      <c r="C13" s="75">
        <v>2</v>
      </c>
    </row>
    <row r="14" spans="2:3" ht="12.75">
      <c r="B14" s="72" t="s">
        <v>345</v>
      </c>
      <c r="C14" s="76">
        <f>C11*C12*C13/9</f>
        <v>31680</v>
      </c>
    </row>
    <row r="15" spans="2:3" ht="12.75">
      <c r="B15" s="72" t="s">
        <v>346</v>
      </c>
      <c r="C15" s="74">
        <v>15</v>
      </c>
    </row>
    <row r="16" spans="2:3" ht="12.75">
      <c r="B16" s="72" t="s">
        <v>347</v>
      </c>
      <c r="C16" s="75">
        <v>20</v>
      </c>
    </row>
    <row r="17" spans="2:3" ht="12.75">
      <c r="B17" s="72" t="s">
        <v>348</v>
      </c>
      <c r="C17" s="77">
        <v>0</v>
      </c>
    </row>
    <row r="18" spans="2:3" ht="12.75">
      <c r="B18" s="72" t="s">
        <v>349</v>
      </c>
      <c r="C18" s="76">
        <f>C14*C17</f>
        <v>0</v>
      </c>
    </row>
    <row r="19" spans="2:3" ht="12.75">
      <c r="B19" s="72" t="s">
        <v>350</v>
      </c>
      <c r="C19" s="74">
        <v>5</v>
      </c>
    </row>
    <row r="20" spans="2:3" ht="12.75">
      <c r="B20" s="72" t="s">
        <v>351</v>
      </c>
      <c r="C20" s="75">
        <v>2</v>
      </c>
    </row>
    <row r="22" spans="1:8" ht="12.75">
      <c r="A22" s="68" t="s">
        <v>263</v>
      </c>
      <c r="B22" s="45"/>
      <c r="C22" s="45"/>
      <c r="D22" s="45"/>
      <c r="E22" s="69"/>
      <c r="F22" s="69"/>
      <c r="G22" s="69"/>
      <c r="H22" s="68"/>
    </row>
    <row r="23" spans="1:8" ht="12.75">
      <c r="A23" s="78" t="s">
        <v>352</v>
      </c>
      <c r="B23" s="78" t="s">
        <v>353</v>
      </c>
      <c r="C23" s="79" t="s">
        <v>354</v>
      </c>
      <c r="D23" s="78"/>
      <c r="E23" s="79" t="s">
        <v>264</v>
      </c>
      <c r="F23" s="79" t="s">
        <v>255</v>
      </c>
      <c r="G23" s="79" t="s">
        <v>355</v>
      </c>
      <c r="H23" s="79" t="s">
        <v>356</v>
      </c>
    </row>
    <row r="24" spans="2:8" ht="12.75">
      <c r="B24" t="s">
        <v>357</v>
      </c>
      <c r="C24" s="80">
        <f>C29+C30+C31</f>
        <v>24</v>
      </c>
      <c r="E24" s="81">
        <f>((C13*C11*(C12+C13*6))/9+C18)*C24/36</f>
        <v>30506.666666666668</v>
      </c>
      <c r="F24" s="82" t="s">
        <v>358</v>
      </c>
      <c r="G24" s="83">
        <f>VLOOKUP($B$6,PayItems!A5:$E$19,5,FALSE)</f>
        <v>15</v>
      </c>
      <c r="H24" s="84">
        <f aca="true" t="shared" si="0" ref="H24:H31">G24*E24</f>
        <v>457600</v>
      </c>
    </row>
    <row r="25" spans="2:8" ht="12.75">
      <c r="B25" t="s">
        <v>359</v>
      </c>
      <c r="C25" s="75">
        <v>6</v>
      </c>
      <c r="E25" s="81">
        <f>C11*(C15*2+C16)*C25/(9*36)</f>
        <v>4888.888888888889</v>
      </c>
      <c r="F25" s="82" t="s">
        <v>358</v>
      </c>
      <c r="G25" s="83">
        <f>VLOOKUP($B$6,PayItems!$A$20:$E$34,5,FALSE)</f>
        <v>10</v>
      </c>
      <c r="H25" s="84">
        <f t="shared" si="0"/>
        <v>48888.88888888889</v>
      </c>
    </row>
    <row r="26" spans="2:8" ht="12.75">
      <c r="B26" t="s">
        <v>360</v>
      </c>
      <c r="C26" s="75">
        <v>12</v>
      </c>
      <c r="E26" s="81">
        <f>C13*C11*(C12+6)*C26/(12*36)</f>
        <v>9680</v>
      </c>
      <c r="F26" s="82" t="s">
        <v>358</v>
      </c>
      <c r="G26" s="83">
        <f>VLOOKUP($B$6,PayItems!$A$35:$E$49,5,FALSE)</f>
        <v>20</v>
      </c>
      <c r="H26" s="84">
        <f t="shared" si="0"/>
        <v>193600</v>
      </c>
    </row>
    <row r="27" spans="2:8" ht="12.75">
      <c r="B27" t="s">
        <v>361</v>
      </c>
      <c r="C27" s="85"/>
      <c r="E27" s="81">
        <f>2*C13*C11</f>
        <v>21120</v>
      </c>
      <c r="F27" s="82" t="s">
        <v>362</v>
      </c>
      <c r="G27" s="83">
        <f>VLOOKUP($B$6,PayItems!$A$50:$E$64,5,FALSE)</f>
        <v>20</v>
      </c>
      <c r="H27" s="84">
        <f t="shared" si="0"/>
        <v>422400</v>
      </c>
    </row>
    <row r="28" spans="2:8" ht="12.75">
      <c r="B28" t="s">
        <v>363</v>
      </c>
      <c r="C28" s="85"/>
      <c r="E28" s="81">
        <f>C11*C20*C19</f>
        <v>52800</v>
      </c>
      <c r="F28" s="82" t="s">
        <v>364</v>
      </c>
      <c r="G28" s="83">
        <f>VLOOKUP($B$6,PayItems!$A$65:$E$79,5,FALSE)</f>
        <v>6</v>
      </c>
      <c r="H28" s="84">
        <f t="shared" si="0"/>
        <v>316800</v>
      </c>
    </row>
    <row r="29" spans="2:8" ht="12.75">
      <c r="B29" t="s">
        <v>365</v>
      </c>
      <c r="C29" s="75">
        <v>0</v>
      </c>
      <c r="E29" s="86">
        <f>((C13*C11*C12)/9+C18)*C29/36</f>
        <v>0</v>
      </c>
      <c r="F29" s="82" t="s">
        <v>358</v>
      </c>
      <c r="G29" s="83">
        <f>VLOOKUP($B$6,PayItems!$A$80:$E$94,5,FALSE)</f>
        <v>400</v>
      </c>
      <c r="H29" s="84">
        <f t="shared" si="0"/>
        <v>0</v>
      </c>
    </row>
    <row r="30" spans="2:8" ht="12.75">
      <c r="B30" t="s">
        <v>366</v>
      </c>
      <c r="C30" s="75">
        <v>6</v>
      </c>
      <c r="E30" s="81">
        <f>2*((C13*C11*(C12-3))/9+C18)*C30/36</f>
        <v>9386.666666666666</v>
      </c>
      <c r="F30" s="82" t="s">
        <v>367</v>
      </c>
      <c r="G30" s="83">
        <f>VLOOKUP($B$6,PayItems!$A$95:$E$109,5,FALSE)</f>
        <v>80</v>
      </c>
      <c r="H30" s="84">
        <f t="shared" si="0"/>
        <v>750933.3333333333</v>
      </c>
    </row>
    <row r="31" spans="1:8" ht="12.75">
      <c r="A31" s="87"/>
      <c r="B31" s="87" t="s">
        <v>368</v>
      </c>
      <c r="C31" s="75">
        <v>18</v>
      </c>
      <c r="D31" s="87"/>
      <c r="E31" s="88">
        <f>((C13*C11*(C12+6))/9+C18)*C31/36</f>
        <v>19360</v>
      </c>
      <c r="F31" s="89" t="s">
        <v>358</v>
      </c>
      <c r="G31" s="90">
        <f>VLOOKUP($B$6,PayItems!$A$110:$E$124,5,FALSE)</f>
        <v>15</v>
      </c>
      <c r="H31" s="91">
        <f t="shared" si="0"/>
        <v>290400</v>
      </c>
    </row>
    <row r="32" spans="7:8" ht="12.75">
      <c r="G32" s="92" t="s">
        <v>369</v>
      </c>
      <c r="H32" s="93">
        <f>SUM(H24:H31)</f>
        <v>2480622.222222222</v>
      </c>
    </row>
    <row r="34" spans="1:8" ht="12.75">
      <c r="A34" s="68" t="s">
        <v>370</v>
      </c>
      <c r="B34" s="45"/>
      <c r="C34" s="45"/>
      <c r="D34" s="45"/>
      <c r="E34" s="69"/>
      <c r="F34" s="69"/>
      <c r="G34" s="69"/>
      <c r="H34" s="68"/>
    </row>
    <row r="35" spans="2:8" ht="12.75">
      <c r="B35" s="78" t="s">
        <v>353</v>
      </c>
      <c r="D35" s="78" t="s">
        <v>266</v>
      </c>
      <c r="G35" s="79" t="s">
        <v>267</v>
      </c>
      <c r="H35" s="79" t="s">
        <v>265</v>
      </c>
    </row>
    <row r="36" spans="2:8" ht="12.75">
      <c r="B36" t="s">
        <v>371</v>
      </c>
      <c r="D36" t="s">
        <v>372</v>
      </c>
      <c r="G36" s="94">
        <f>VLOOKUP($B$6,PayItems!$A$5:$H$19,8,FALSE)</f>
        <v>0.6</v>
      </c>
      <c r="H36" s="95">
        <f aca="true" t="shared" si="1" ref="H36:H41">H$32*G36</f>
        <v>1488373.3333333333</v>
      </c>
    </row>
    <row r="37" spans="2:8" ht="12.75">
      <c r="B37" t="s">
        <v>373</v>
      </c>
      <c r="G37" s="94">
        <f>VLOOKUP($B$6,PayItems!$A$20:$H$34,8,FALSE)</f>
        <v>0.1</v>
      </c>
      <c r="H37" s="95">
        <f t="shared" si="1"/>
        <v>248062.22222222222</v>
      </c>
    </row>
    <row r="38" spans="2:8" ht="12.75">
      <c r="B38" t="s">
        <v>374</v>
      </c>
      <c r="D38" s="96"/>
      <c r="G38" s="94">
        <v>0.05</v>
      </c>
      <c r="H38" s="95">
        <f t="shared" si="1"/>
        <v>124031.11111111111</v>
      </c>
    </row>
    <row r="39" spans="2:8" ht="12.75">
      <c r="B39" t="s">
        <v>268</v>
      </c>
      <c r="G39" s="94">
        <f>VLOOKUP($B$6,PayItems!$A$50:$H$64,8,FALSE)</f>
        <v>0</v>
      </c>
      <c r="H39" s="95">
        <f t="shared" si="1"/>
        <v>0</v>
      </c>
    </row>
    <row r="40" spans="2:8" ht="12.75">
      <c r="B40" t="s">
        <v>375</v>
      </c>
      <c r="G40" s="94">
        <f>VLOOKUP($B$6,PayItems!$A$65:$H$79,8,FALSE)</f>
        <v>0.06</v>
      </c>
      <c r="H40" s="95">
        <f t="shared" si="1"/>
        <v>148837.3333333333</v>
      </c>
    </row>
    <row r="41" spans="1:8" ht="12.75">
      <c r="A41" s="87"/>
      <c r="B41" s="87" t="s">
        <v>376</v>
      </c>
      <c r="C41" s="87"/>
      <c r="D41" s="87"/>
      <c r="E41" s="87"/>
      <c r="F41" s="87"/>
      <c r="G41" s="97">
        <f>VLOOKUP($B$6,PayItems!$A$80:$H$94,8,FALSE)</f>
        <v>0.04</v>
      </c>
      <c r="H41" s="98">
        <f t="shared" si="1"/>
        <v>99224.88888888888</v>
      </c>
    </row>
    <row r="42" spans="7:8" ht="12.75">
      <c r="G42" s="92" t="s">
        <v>377</v>
      </c>
      <c r="H42" s="93">
        <f>SUM(H36:H41)</f>
        <v>2108528.8888888885</v>
      </c>
    </row>
    <row r="43" spans="1:8" ht="13.5" thickBot="1">
      <c r="A43" s="99"/>
      <c r="B43" s="99"/>
      <c r="C43" s="99"/>
      <c r="D43" s="99"/>
      <c r="E43" s="99"/>
      <c r="F43" s="99"/>
      <c r="G43" s="99"/>
      <c r="H43" s="99"/>
    </row>
    <row r="44" spans="7:8" ht="12.75">
      <c r="G44" s="100" t="s">
        <v>378</v>
      </c>
      <c r="H44" s="101">
        <f>H32+H42</f>
        <v>4589151.11111111</v>
      </c>
    </row>
    <row r="46" spans="1:8" ht="12.75">
      <c r="A46" s="68" t="s">
        <v>379</v>
      </c>
      <c r="B46" s="45"/>
      <c r="C46" s="45"/>
      <c r="D46" s="45"/>
      <c r="E46" s="69"/>
      <c r="F46" s="69"/>
      <c r="G46" s="69"/>
      <c r="H46" s="68"/>
    </row>
    <row r="47" spans="2:8" ht="12.75">
      <c r="B47" s="78" t="s">
        <v>353</v>
      </c>
      <c r="D47" s="78" t="s">
        <v>266</v>
      </c>
      <c r="G47" s="79" t="s">
        <v>267</v>
      </c>
      <c r="H47" s="79" t="s">
        <v>265</v>
      </c>
    </row>
    <row r="48" spans="2:8" ht="12.75">
      <c r="B48" t="s">
        <v>380</v>
      </c>
      <c r="D48" t="s">
        <v>381</v>
      </c>
      <c r="G48" s="94">
        <f>VLOOKUP($B$6,PayItems!A5:$K$19,11,FALSE)</f>
        <v>0.25</v>
      </c>
      <c r="H48" s="95">
        <f>H$44*G48</f>
        <v>1147287.7777777775</v>
      </c>
    </row>
    <row r="49" spans="2:8" ht="12.75">
      <c r="B49" t="s">
        <v>382</v>
      </c>
      <c r="D49" t="s">
        <v>383</v>
      </c>
      <c r="G49" s="94">
        <f>VLOOKUP($B$6,PayItems!$A$20:$K$34,11,FALSE)</f>
        <v>0.12</v>
      </c>
      <c r="H49" s="95">
        <f>H$44*G49</f>
        <v>550698.1333333332</v>
      </c>
    </row>
    <row r="50" spans="2:8" ht="12.75">
      <c r="B50" t="s">
        <v>384</v>
      </c>
      <c r="D50" t="s">
        <v>385</v>
      </c>
      <c r="G50" s="94">
        <f>VLOOKUP($B$6,PayItems!$A$35:$K$49,11,FALSE)</f>
        <v>0.05</v>
      </c>
      <c r="H50" s="95">
        <f>H$44*G50</f>
        <v>229457.5555555555</v>
      </c>
    </row>
    <row r="51" spans="2:8" ht="12.75">
      <c r="B51" t="s">
        <v>386</v>
      </c>
      <c r="G51" s="94">
        <f>VLOOKUP($B$6,PayItems!$A$50:$K$64,11,FALSE)</f>
        <v>0.15</v>
      </c>
      <c r="H51" s="95">
        <f>H$44*G51</f>
        <v>688372.6666666665</v>
      </c>
    </row>
    <row r="52" spans="1:8" ht="12.75">
      <c r="A52" s="87"/>
      <c r="B52" s="87" t="s">
        <v>387</v>
      </c>
      <c r="C52" s="87"/>
      <c r="D52" s="87"/>
      <c r="E52" s="87"/>
      <c r="F52" s="87"/>
      <c r="G52" s="97">
        <f>VLOOKUP($B$6,PayItems!$A$65:$K$79,11,FALSE)</f>
        <v>0</v>
      </c>
      <c r="H52" s="98">
        <f>H$57*G52</f>
        <v>0</v>
      </c>
    </row>
    <row r="53" spans="7:8" ht="12.75">
      <c r="G53" s="92" t="s">
        <v>388</v>
      </c>
      <c r="H53" s="93">
        <f>SUM(H48:H52)</f>
        <v>2615816.133333333</v>
      </c>
    </row>
    <row r="55" spans="1:8" ht="12.75">
      <c r="A55" s="68" t="s">
        <v>498</v>
      </c>
      <c r="B55" s="45"/>
      <c r="C55" s="45"/>
      <c r="D55" s="45"/>
      <c r="E55" s="69"/>
      <c r="F55" s="69"/>
      <c r="G55" s="69"/>
      <c r="H55" s="68"/>
    </row>
    <row r="56" spans="2:8" ht="12.75">
      <c r="B56" s="78" t="s">
        <v>352</v>
      </c>
      <c r="D56" s="78" t="s">
        <v>266</v>
      </c>
      <c r="H56" s="79" t="s">
        <v>265</v>
      </c>
    </row>
    <row r="57" spans="2:8" ht="12.75">
      <c r="B57" t="s">
        <v>389</v>
      </c>
      <c r="G57" s="79"/>
      <c r="H57" s="102">
        <f>H32</f>
        <v>2480622.222222222</v>
      </c>
    </row>
    <row r="58" spans="2:8" ht="12.75">
      <c r="B58" t="s">
        <v>390</v>
      </c>
      <c r="H58" s="95">
        <f>H42</f>
        <v>2108528.8888888885</v>
      </c>
    </row>
    <row r="59" spans="1:8" ht="12.75">
      <c r="A59" s="87"/>
      <c r="B59" s="87" t="s">
        <v>391</v>
      </c>
      <c r="C59" s="87"/>
      <c r="D59" s="87"/>
      <c r="E59" s="87"/>
      <c r="F59" s="87"/>
      <c r="G59" s="87"/>
      <c r="H59" s="98">
        <f>H53</f>
        <v>2615816.133333333</v>
      </c>
    </row>
    <row r="60" spans="7:8" ht="12.75">
      <c r="G60" s="92" t="s">
        <v>392</v>
      </c>
      <c r="H60" s="103">
        <f>SUM(H57:H59)</f>
        <v>7204967.244444443</v>
      </c>
    </row>
    <row r="61" ht="12.75">
      <c r="H61" s="96"/>
    </row>
  </sheetData>
  <sheetProtection password="FFAE" sheet="1" selectLockedCells="1"/>
  <printOptions/>
  <pageMargins left="0.75" right="0.75" top="1" bottom="1" header="0.5" footer="0.5"/>
  <pageSetup fitToHeight="1" fitToWidth="1" horizontalDpi="600" verticalDpi="600" orientation="portrait" scale="86" r:id="rId2"/>
  <drawing r:id="rId1"/>
</worksheet>
</file>

<file path=xl/worksheets/sheet17.xml><?xml version="1.0" encoding="utf-8"?>
<worksheet xmlns="http://schemas.openxmlformats.org/spreadsheetml/2006/main" xmlns:r="http://schemas.openxmlformats.org/officeDocument/2006/relationships">
  <sheetPr>
    <pageSetUpPr fitToPage="1"/>
  </sheetPr>
  <dimension ref="A1:H60"/>
  <sheetViews>
    <sheetView view="pageBreakPreview" zoomScaleSheetLayoutView="100" zoomScalePageLayoutView="0" workbookViewId="0" topLeftCell="A1">
      <selection activeCell="B6" sqref="B6"/>
    </sheetView>
  </sheetViews>
  <sheetFormatPr defaultColWidth="9.140625" defaultRowHeight="12.75"/>
  <cols>
    <col min="1" max="1" width="6.57421875" style="0" customWidth="1"/>
    <col min="2" max="2" width="24.7109375" style="0" customWidth="1"/>
    <col min="3" max="3" width="18.7109375" style="0" customWidth="1"/>
    <col min="4" max="4" width="13.8515625" style="0" customWidth="1"/>
    <col min="5" max="5" width="8.7109375" style="0" customWidth="1"/>
    <col min="6" max="6" width="5.8515625" style="0" customWidth="1"/>
    <col min="7" max="7" width="8.7109375" style="0" customWidth="1"/>
    <col min="8" max="8" width="12.57421875" style="0" customWidth="1"/>
    <col min="9" max="9" width="3.7109375" style="0" customWidth="1"/>
  </cols>
  <sheetData>
    <row r="1" spans="1:8" ht="17.25">
      <c r="A1" s="65" t="s">
        <v>333</v>
      </c>
      <c r="H1" s="66">
        <v>41102</v>
      </c>
    </row>
    <row r="2" ht="13.5">
      <c r="A2" s="67" t="s">
        <v>415</v>
      </c>
    </row>
    <row r="3" ht="13.5">
      <c r="A3" s="67" t="s">
        <v>258</v>
      </c>
    </row>
    <row r="5" spans="1:8" ht="12.75">
      <c r="A5" s="68" t="s">
        <v>259</v>
      </c>
      <c r="B5" s="45"/>
      <c r="C5" s="45"/>
      <c r="D5" s="69" t="s">
        <v>260</v>
      </c>
      <c r="E5" s="45"/>
      <c r="F5" s="69"/>
      <c r="G5" s="69" t="s">
        <v>334</v>
      </c>
      <c r="H5" s="68" t="s">
        <v>335</v>
      </c>
    </row>
    <row r="6" spans="1:2" ht="12.75">
      <c r="A6" s="70" t="s">
        <v>261</v>
      </c>
      <c r="B6" s="71" t="s">
        <v>411</v>
      </c>
    </row>
    <row r="7" spans="1:2" ht="12.75">
      <c r="A7" s="70" t="s">
        <v>262</v>
      </c>
      <c r="B7" s="71" t="s">
        <v>459</v>
      </c>
    </row>
    <row r="8" spans="2:3" ht="12.75">
      <c r="B8" s="72" t="s">
        <v>337</v>
      </c>
      <c r="C8" s="73" t="s">
        <v>38</v>
      </c>
    </row>
    <row r="9" spans="2:3" ht="12.75">
      <c r="B9" s="72" t="s">
        <v>338</v>
      </c>
      <c r="C9" s="73" t="s">
        <v>339</v>
      </c>
    </row>
    <row r="10" spans="2:3" ht="12.75">
      <c r="B10" s="72" t="s">
        <v>340</v>
      </c>
      <c r="C10" s="73" t="s">
        <v>412</v>
      </c>
    </row>
    <row r="11" spans="2:3" ht="12.75">
      <c r="B11" s="72" t="s">
        <v>342</v>
      </c>
      <c r="C11" s="74">
        <v>5280</v>
      </c>
    </row>
    <row r="12" spans="2:3" ht="12.75">
      <c r="B12" s="72" t="s">
        <v>343</v>
      </c>
      <c r="C12" s="74">
        <v>51</v>
      </c>
    </row>
    <row r="13" spans="2:3" ht="12.75">
      <c r="B13" s="72" t="s">
        <v>344</v>
      </c>
      <c r="C13" s="75">
        <v>1</v>
      </c>
    </row>
    <row r="14" spans="2:3" ht="12.75">
      <c r="B14" s="72" t="s">
        <v>345</v>
      </c>
      <c r="C14" s="76">
        <f>C11*C12*C13/9</f>
        <v>29920</v>
      </c>
    </row>
    <row r="15" spans="2:3" ht="12.75">
      <c r="B15" s="72" t="s">
        <v>346</v>
      </c>
      <c r="C15" s="74">
        <v>10</v>
      </c>
    </row>
    <row r="16" spans="2:3" ht="12.75">
      <c r="B16" s="72" t="s">
        <v>347</v>
      </c>
      <c r="C16" s="75">
        <v>0</v>
      </c>
    </row>
    <row r="17" spans="2:3" ht="12.75">
      <c r="B17" s="72" t="s">
        <v>348</v>
      </c>
      <c r="C17" s="77">
        <v>0</v>
      </c>
    </row>
    <row r="18" spans="2:3" ht="12.75">
      <c r="B18" s="72" t="s">
        <v>349</v>
      </c>
      <c r="C18" s="76">
        <f>C14*C17</f>
        <v>0</v>
      </c>
    </row>
    <row r="19" spans="2:3" ht="12.75">
      <c r="B19" s="72" t="s">
        <v>350</v>
      </c>
      <c r="C19" s="74">
        <v>5</v>
      </c>
    </row>
    <row r="20" spans="2:3" ht="12.75">
      <c r="B20" s="72" t="s">
        <v>351</v>
      </c>
      <c r="C20" s="75">
        <v>2</v>
      </c>
    </row>
    <row r="22" spans="1:8" ht="12.75">
      <c r="A22" s="68" t="s">
        <v>263</v>
      </c>
      <c r="B22" s="45"/>
      <c r="C22" s="45"/>
      <c r="D22" s="45"/>
      <c r="E22" s="69"/>
      <c r="F22" s="69"/>
      <c r="G22" s="69"/>
      <c r="H22" s="68"/>
    </row>
    <row r="23" spans="1:8" ht="12.75">
      <c r="A23" s="78" t="s">
        <v>352</v>
      </c>
      <c r="B23" s="78" t="s">
        <v>353</v>
      </c>
      <c r="C23" s="79" t="s">
        <v>354</v>
      </c>
      <c r="D23" s="78"/>
      <c r="E23" s="79" t="s">
        <v>264</v>
      </c>
      <c r="F23" s="79" t="s">
        <v>255</v>
      </c>
      <c r="G23" s="79" t="s">
        <v>355</v>
      </c>
      <c r="H23" s="79" t="s">
        <v>356</v>
      </c>
    </row>
    <row r="24" spans="2:8" ht="12.75">
      <c r="B24" t="s">
        <v>357</v>
      </c>
      <c r="C24" s="80">
        <f>C29+C30+C31</f>
        <v>24</v>
      </c>
      <c r="E24" s="81">
        <f>((C13*C11*(C12+C13*6))/9+C18)*C24/36</f>
        <v>22293.333333333332</v>
      </c>
      <c r="F24" s="82" t="s">
        <v>358</v>
      </c>
      <c r="G24" s="83">
        <f>VLOOKUP($B$6,PayItems!A5:$E$19,5,FALSE)</f>
        <v>15</v>
      </c>
      <c r="H24" s="84">
        <f aca="true" t="shared" si="0" ref="H24:H31">G24*E24</f>
        <v>334400</v>
      </c>
    </row>
    <row r="25" spans="2:8" ht="12.75">
      <c r="B25" t="s">
        <v>359</v>
      </c>
      <c r="C25" s="75">
        <v>6</v>
      </c>
      <c r="E25" s="81">
        <f>C11*(C15*2+C16)*C25/(9*36)</f>
        <v>1955.5555555555557</v>
      </c>
      <c r="F25" s="82" t="s">
        <v>358</v>
      </c>
      <c r="G25" s="83">
        <f>VLOOKUP($B$6,PayItems!$A$20:$E$34,5,FALSE)</f>
        <v>10</v>
      </c>
      <c r="H25" s="84">
        <f t="shared" si="0"/>
        <v>19555.555555555555</v>
      </c>
    </row>
    <row r="26" spans="2:8" ht="12.75">
      <c r="B26" t="s">
        <v>360</v>
      </c>
      <c r="C26" s="75">
        <v>12</v>
      </c>
      <c r="E26" s="81">
        <f>C13*C11*(C12+6)*C26/(12*36)</f>
        <v>8360</v>
      </c>
      <c r="F26" s="82" t="s">
        <v>358</v>
      </c>
      <c r="G26" s="83">
        <f>VLOOKUP($B$6,PayItems!$A$35:$E$49,5,FALSE)</f>
        <v>20</v>
      </c>
      <c r="H26" s="84">
        <f t="shared" si="0"/>
        <v>167200</v>
      </c>
    </row>
    <row r="27" spans="2:8" ht="12.75">
      <c r="B27" t="s">
        <v>361</v>
      </c>
      <c r="C27" s="85"/>
      <c r="E27" s="81">
        <f>2*C13*C11</f>
        <v>10560</v>
      </c>
      <c r="F27" s="82" t="s">
        <v>362</v>
      </c>
      <c r="G27" s="83">
        <f>VLOOKUP($B$6,PayItems!$A$50:$E$64,5,FALSE)</f>
        <v>20</v>
      </c>
      <c r="H27" s="84">
        <f t="shared" si="0"/>
        <v>211200</v>
      </c>
    </row>
    <row r="28" spans="2:8" ht="12.75">
      <c r="B28" t="s">
        <v>363</v>
      </c>
      <c r="C28" s="85"/>
      <c r="E28" s="81">
        <f>C11*C20*C19</f>
        <v>52800</v>
      </c>
      <c r="F28" s="82" t="s">
        <v>364</v>
      </c>
      <c r="G28" s="83">
        <f>VLOOKUP($B$6,PayItems!$A$65:$E$79,5,FALSE)</f>
        <v>6</v>
      </c>
      <c r="H28" s="84">
        <f t="shared" si="0"/>
        <v>316800</v>
      </c>
    </row>
    <row r="29" spans="2:8" ht="12.75">
      <c r="B29" t="s">
        <v>365</v>
      </c>
      <c r="C29" s="75">
        <v>0</v>
      </c>
      <c r="E29" s="86">
        <f>((C13*C11*C12)/9+C18)*C29/36</f>
        <v>0</v>
      </c>
      <c r="F29" s="82" t="s">
        <v>358</v>
      </c>
      <c r="G29" s="83">
        <f>VLOOKUP($B$6,PayItems!$A$80:$E$94,5,FALSE)</f>
        <v>400</v>
      </c>
      <c r="H29" s="84">
        <f t="shared" si="0"/>
        <v>0</v>
      </c>
    </row>
    <row r="30" spans="2:8" ht="12.75">
      <c r="B30" t="s">
        <v>366</v>
      </c>
      <c r="C30" s="75">
        <v>6</v>
      </c>
      <c r="E30" s="81">
        <f>2*((C13*C11*(C12-3))/9+C18)*C30/36</f>
        <v>9386.666666666666</v>
      </c>
      <c r="F30" s="82" t="s">
        <v>367</v>
      </c>
      <c r="G30" s="83">
        <f>VLOOKUP($B$6,PayItems!$A$95:$E$109,5,FALSE)</f>
        <v>80</v>
      </c>
      <c r="H30" s="84">
        <f t="shared" si="0"/>
        <v>750933.3333333333</v>
      </c>
    </row>
    <row r="31" spans="1:8" ht="12.75">
      <c r="A31" s="87"/>
      <c r="B31" s="87" t="s">
        <v>368</v>
      </c>
      <c r="C31" s="75">
        <v>18</v>
      </c>
      <c r="D31" s="87"/>
      <c r="E31" s="88">
        <f>((C13*C11*(C12+6))/9+C18)*C31/36</f>
        <v>16720</v>
      </c>
      <c r="F31" s="89" t="s">
        <v>358</v>
      </c>
      <c r="G31" s="90">
        <f>VLOOKUP($B$6,PayItems!$A$110:$E$124,5,FALSE)</f>
        <v>15</v>
      </c>
      <c r="H31" s="91">
        <f t="shared" si="0"/>
        <v>250800</v>
      </c>
    </row>
    <row r="32" spans="7:8" ht="12.75">
      <c r="G32" s="92" t="s">
        <v>369</v>
      </c>
      <c r="H32" s="93">
        <f>SUM(H24:H31)</f>
        <v>2050888.8888888888</v>
      </c>
    </row>
    <row r="34" spans="1:8" ht="12.75">
      <c r="A34" s="68" t="s">
        <v>370</v>
      </c>
      <c r="B34" s="45"/>
      <c r="C34" s="45"/>
      <c r="D34" s="45"/>
      <c r="E34" s="69"/>
      <c r="F34" s="69"/>
      <c r="G34" s="69"/>
      <c r="H34" s="68"/>
    </row>
    <row r="35" spans="2:8" ht="12.75">
      <c r="B35" s="78" t="s">
        <v>353</v>
      </c>
      <c r="D35" s="78" t="s">
        <v>266</v>
      </c>
      <c r="G35" s="79" t="s">
        <v>267</v>
      </c>
      <c r="H35" s="79" t="s">
        <v>265</v>
      </c>
    </row>
    <row r="36" spans="2:8" ht="12.75">
      <c r="B36" t="s">
        <v>371</v>
      </c>
      <c r="D36" t="s">
        <v>372</v>
      </c>
      <c r="G36" s="94">
        <f>VLOOKUP($B$6,PayItems!$A$5:$H$19,8,FALSE)</f>
        <v>0.6</v>
      </c>
      <c r="H36" s="95">
        <f aca="true" t="shared" si="1" ref="H36:H41">H$32*G36</f>
        <v>1230533.3333333333</v>
      </c>
    </row>
    <row r="37" spans="2:8" ht="12.75">
      <c r="B37" t="s">
        <v>373</v>
      </c>
      <c r="G37" s="94">
        <f>VLOOKUP($B$6,PayItems!$A$20:$H$34,8,FALSE)</f>
        <v>0.1</v>
      </c>
      <c r="H37" s="95">
        <f t="shared" si="1"/>
        <v>205088.88888888888</v>
      </c>
    </row>
    <row r="38" spans="2:8" ht="12.75">
      <c r="B38" t="s">
        <v>374</v>
      </c>
      <c r="D38" s="96"/>
      <c r="G38" s="94">
        <v>0.05</v>
      </c>
      <c r="H38" s="95">
        <f t="shared" si="1"/>
        <v>102544.44444444444</v>
      </c>
    </row>
    <row r="39" spans="2:8" ht="12.75">
      <c r="B39" t="s">
        <v>268</v>
      </c>
      <c r="G39" s="94">
        <f>VLOOKUP($B$6,PayItems!$A$50:$H$64,8,FALSE)</f>
        <v>0</v>
      </c>
      <c r="H39" s="95">
        <f t="shared" si="1"/>
        <v>0</v>
      </c>
    </row>
    <row r="40" spans="2:8" ht="12.75">
      <c r="B40" t="s">
        <v>375</v>
      </c>
      <c r="G40" s="94">
        <f>VLOOKUP($B$6,PayItems!$A$65:$H$79,8,FALSE)</f>
        <v>0.06</v>
      </c>
      <c r="H40" s="95">
        <f t="shared" si="1"/>
        <v>123053.33333333331</v>
      </c>
    </row>
    <row r="41" spans="1:8" ht="12.75">
      <c r="A41" s="87"/>
      <c r="B41" s="87" t="s">
        <v>376</v>
      </c>
      <c r="C41" s="87"/>
      <c r="D41" s="87"/>
      <c r="E41" s="87"/>
      <c r="F41" s="87"/>
      <c r="G41" s="97">
        <f>VLOOKUP($B$6,PayItems!$A$80:$H$94,8,FALSE)</f>
        <v>0.04</v>
      </c>
      <c r="H41" s="98">
        <f t="shared" si="1"/>
        <v>82035.55555555555</v>
      </c>
    </row>
    <row r="42" spans="7:8" ht="12.75">
      <c r="G42" s="92" t="s">
        <v>377</v>
      </c>
      <c r="H42" s="93">
        <f>SUM(H36:H41)</f>
        <v>1743255.5555555553</v>
      </c>
    </row>
    <row r="43" spans="1:8" ht="13.5" thickBot="1">
      <c r="A43" s="99"/>
      <c r="B43" s="99"/>
      <c r="C43" s="99"/>
      <c r="D43" s="99"/>
      <c r="E43" s="99"/>
      <c r="F43" s="99"/>
      <c r="G43" s="99"/>
      <c r="H43" s="99"/>
    </row>
    <row r="44" spans="7:8" ht="12.75">
      <c r="G44" s="100" t="s">
        <v>378</v>
      </c>
      <c r="H44" s="101">
        <f>H32+H42</f>
        <v>3794144.444444444</v>
      </c>
    </row>
    <row r="46" spans="1:8" ht="12.75">
      <c r="A46" s="68" t="s">
        <v>379</v>
      </c>
      <c r="B46" s="45"/>
      <c r="C46" s="45"/>
      <c r="D46" s="45"/>
      <c r="E46" s="69"/>
      <c r="F46" s="69"/>
      <c r="G46" s="69"/>
      <c r="H46" s="68"/>
    </row>
    <row r="47" spans="2:8" ht="12.75">
      <c r="B47" s="78" t="s">
        <v>353</v>
      </c>
      <c r="D47" s="78" t="s">
        <v>266</v>
      </c>
      <c r="G47" s="79" t="s">
        <v>267</v>
      </c>
      <c r="H47" s="79" t="s">
        <v>265</v>
      </c>
    </row>
    <row r="48" spans="2:8" ht="12.75">
      <c r="B48" t="s">
        <v>380</v>
      </c>
      <c r="D48" t="s">
        <v>381</v>
      </c>
      <c r="G48" s="94">
        <f>VLOOKUP($B$6,PayItems!A5:$K$19,11,FALSE)</f>
        <v>0.25</v>
      </c>
      <c r="H48" s="95">
        <f>H$44*G48</f>
        <v>948536.111111111</v>
      </c>
    </row>
    <row r="49" spans="2:8" ht="12.75">
      <c r="B49" t="s">
        <v>382</v>
      </c>
      <c r="D49" t="s">
        <v>383</v>
      </c>
      <c r="G49" s="94">
        <f>VLOOKUP($B$6,PayItems!$A$20:$K$34,11,FALSE)</f>
        <v>0.12</v>
      </c>
      <c r="H49" s="95">
        <f>H$44*G49</f>
        <v>455297.33333333326</v>
      </c>
    </row>
    <row r="50" spans="2:8" ht="12.75">
      <c r="B50" t="s">
        <v>384</v>
      </c>
      <c r="D50" t="s">
        <v>385</v>
      </c>
      <c r="G50" s="94">
        <f>VLOOKUP($B$6,PayItems!$A$35:$K$49,11,FALSE)</f>
        <v>0.05</v>
      </c>
      <c r="H50" s="95">
        <f>H$44*G50</f>
        <v>189707.22222222222</v>
      </c>
    </row>
    <row r="51" spans="2:8" ht="12.75">
      <c r="B51" t="s">
        <v>386</v>
      </c>
      <c r="G51" s="94">
        <f>VLOOKUP($B$6,PayItems!$A$50:$K$64,11,FALSE)</f>
        <v>0.15</v>
      </c>
      <c r="H51" s="95">
        <f>H$44*G51</f>
        <v>569121.6666666666</v>
      </c>
    </row>
    <row r="52" spans="1:8" ht="12.75">
      <c r="A52" s="87"/>
      <c r="B52" s="87" t="s">
        <v>387</v>
      </c>
      <c r="C52" s="87"/>
      <c r="D52" s="87"/>
      <c r="E52" s="87"/>
      <c r="F52" s="87"/>
      <c r="G52" s="97">
        <f>VLOOKUP($B$6,PayItems!$A$65:$K$79,11,FALSE)</f>
        <v>0</v>
      </c>
      <c r="H52" s="98">
        <f>H$57*G52</f>
        <v>0</v>
      </c>
    </row>
    <row r="53" spans="7:8" ht="12.75">
      <c r="G53" s="92" t="s">
        <v>388</v>
      </c>
      <c r="H53" s="93">
        <f>SUM(H48:H52)</f>
        <v>2162662.333333333</v>
      </c>
    </row>
    <row r="55" spans="1:8" ht="12.75">
      <c r="A55" s="68" t="s">
        <v>498</v>
      </c>
      <c r="B55" s="45"/>
      <c r="C55" s="45"/>
      <c r="D55" s="45"/>
      <c r="E55" s="69"/>
      <c r="F55" s="69"/>
      <c r="G55" s="69"/>
      <c r="H55" s="68"/>
    </row>
    <row r="56" spans="2:8" ht="12.75">
      <c r="B56" s="78" t="s">
        <v>352</v>
      </c>
      <c r="D56" s="78" t="s">
        <v>266</v>
      </c>
      <c r="H56" s="79" t="s">
        <v>265</v>
      </c>
    </row>
    <row r="57" spans="2:8" ht="12.75">
      <c r="B57" t="s">
        <v>389</v>
      </c>
      <c r="G57" s="79"/>
      <c r="H57" s="102">
        <f>H32</f>
        <v>2050888.8888888888</v>
      </c>
    </row>
    <row r="58" spans="2:8" ht="12.75">
      <c r="B58" t="s">
        <v>390</v>
      </c>
      <c r="H58" s="95">
        <f>H42</f>
        <v>1743255.5555555553</v>
      </c>
    </row>
    <row r="59" spans="1:8" ht="12.75">
      <c r="A59" s="87"/>
      <c r="B59" s="87" t="s">
        <v>391</v>
      </c>
      <c r="C59" s="87"/>
      <c r="D59" s="87"/>
      <c r="E59" s="87"/>
      <c r="F59" s="87"/>
      <c r="G59" s="87"/>
      <c r="H59" s="98">
        <f>H53</f>
        <v>2162662.333333333</v>
      </c>
    </row>
    <row r="60" spans="7:8" ht="12.75">
      <c r="G60" s="92" t="s">
        <v>392</v>
      </c>
      <c r="H60" s="103">
        <f>SUM(H57:H59)</f>
        <v>5956806.777777777</v>
      </c>
    </row>
  </sheetData>
  <sheetProtection password="FFAE" sheet="1" selectLockedCells="1"/>
  <printOptions/>
  <pageMargins left="0.75" right="0.75" top="1" bottom="1" header="0.5" footer="0.5"/>
  <pageSetup fitToHeight="1" fitToWidth="1" horizontalDpi="600" verticalDpi="600" orientation="portrait" scale="86" r:id="rId2"/>
  <drawing r:id="rId1"/>
</worksheet>
</file>

<file path=xl/worksheets/sheet18.xml><?xml version="1.0" encoding="utf-8"?>
<worksheet xmlns="http://schemas.openxmlformats.org/spreadsheetml/2006/main" xmlns:r="http://schemas.openxmlformats.org/officeDocument/2006/relationships">
  <sheetPr>
    <pageSetUpPr fitToPage="1"/>
  </sheetPr>
  <dimension ref="A1:H60"/>
  <sheetViews>
    <sheetView view="pageBreakPreview" zoomScaleSheetLayoutView="100" zoomScalePageLayoutView="0" workbookViewId="0" topLeftCell="A1">
      <selection activeCell="B6" sqref="B6"/>
    </sheetView>
  </sheetViews>
  <sheetFormatPr defaultColWidth="9.140625" defaultRowHeight="12.75"/>
  <cols>
    <col min="1" max="1" width="6.57421875" style="0" customWidth="1"/>
    <col min="2" max="2" width="24.7109375" style="0" customWidth="1"/>
    <col min="3" max="3" width="18.7109375" style="0" customWidth="1"/>
    <col min="4" max="4" width="13.8515625" style="0" customWidth="1"/>
    <col min="5" max="5" width="8.7109375" style="0" customWidth="1"/>
    <col min="6" max="6" width="5.8515625" style="0" customWidth="1"/>
    <col min="7" max="7" width="8.7109375" style="0" customWidth="1"/>
    <col min="8" max="8" width="12.57421875" style="0" customWidth="1"/>
    <col min="9" max="9" width="3.7109375" style="0" customWidth="1"/>
  </cols>
  <sheetData>
    <row r="1" spans="1:8" ht="17.25">
      <c r="A1" s="65" t="s">
        <v>333</v>
      </c>
      <c r="H1" s="66">
        <v>41102</v>
      </c>
    </row>
    <row r="2" ht="13.5">
      <c r="A2" s="67" t="s">
        <v>415</v>
      </c>
    </row>
    <row r="3" ht="13.5">
      <c r="A3" s="67" t="s">
        <v>258</v>
      </c>
    </row>
    <row r="5" spans="1:8" ht="12.75">
      <c r="A5" s="68" t="s">
        <v>259</v>
      </c>
      <c r="B5" s="45"/>
      <c r="C5" s="45"/>
      <c r="D5" s="69" t="s">
        <v>260</v>
      </c>
      <c r="E5" s="45"/>
      <c r="F5" s="69"/>
      <c r="G5" s="69" t="s">
        <v>334</v>
      </c>
      <c r="H5" s="68" t="s">
        <v>335</v>
      </c>
    </row>
    <row r="6" spans="1:2" ht="12.75">
      <c r="A6" s="70" t="s">
        <v>261</v>
      </c>
      <c r="B6" s="71" t="s">
        <v>413</v>
      </c>
    </row>
    <row r="7" spans="1:2" ht="12.75">
      <c r="A7" s="70" t="s">
        <v>262</v>
      </c>
      <c r="B7" s="71" t="s">
        <v>459</v>
      </c>
    </row>
    <row r="8" spans="2:3" ht="12.75">
      <c r="B8" s="72" t="s">
        <v>337</v>
      </c>
      <c r="C8" s="73" t="s">
        <v>38</v>
      </c>
    </row>
    <row r="9" spans="2:3" ht="12.75">
      <c r="B9" s="72" t="s">
        <v>338</v>
      </c>
      <c r="C9" s="73" t="s">
        <v>339</v>
      </c>
    </row>
    <row r="10" spans="2:3" ht="12.75">
      <c r="B10" s="72" t="s">
        <v>340</v>
      </c>
      <c r="C10" s="73" t="s">
        <v>414</v>
      </c>
    </row>
    <row r="11" spans="2:3" ht="12.75">
      <c r="B11" s="72" t="s">
        <v>342</v>
      </c>
      <c r="C11" s="74">
        <v>5280</v>
      </c>
    </row>
    <row r="12" spans="2:3" ht="12.75">
      <c r="B12" s="72" t="s">
        <v>343</v>
      </c>
      <c r="C12" s="74">
        <v>39</v>
      </c>
    </row>
    <row r="13" spans="2:3" ht="12.75">
      <c r="B13" s="72" t="s">
        <v>344</v>
      </c>
      <c r="C13" s="75">
        <v>2</v>
      </c>
    </row>
    <row r="14" spans="2:3" ht="12.75">
      <c r="B14" s="72" t="s">
        <v>345</v>
      </c>
      <c r="C14" s="76">
        <f>C11*C12*C13/9</f>
        <v>45760</v>
      </c>
    </row>
    <row r="15" spans="2:3" ht="12.75">
      <c r="B15" s="72" t="s">
        <v>346</v>
      </c>
      <c r="C15" s="74">
        <v>10</v>
      </c>
    </row>
    <row r="16" spans="2:3" ht="12.75">
      <c r="B16" s="72" t="s">
        <v>347</v>
      </c>
      <c r="C16" s="75">
        <v>23</v>
      </c>
    </row>
    <row r="17" spans="2:3" ht="12.75">
      <c r="B17" s="72" t="s">
        <v>348</v>
      </c>
      <c r="C17" s="77">
        <v>0</v>
      </c>
    </row>
    <row r="18" spans="2:3" ht="12.75">
      <c r="B18" s="72" t="s">
        <v>349</v>
      </c>
      <c r="C18" s="76">
        <f>C14*C17</f>
        <v>0</v>
      </c>
    </row>
    <row r="19" spans="2:3" ht="12.75">
      <c r="B19" s="72" t="s">
        <v>350</v>
      </c>
      <c r="C19" s="74">
        <v>6</v>
      </c>
    </row>
    <row r="20" spans="2:3" ht="12.75">
      <c r="B20" s="72" t="s">
        <v>351</v>
      </c>
      <c r="C20" s="75">
        <v>2</v>
      </c>
    </row>
    <row r="22" spans="1:8" ht="12.75">
      <c r="A22" s="68" t="s">
        <v>263</v>
      </c>
      <c r="B22" s="45"/>
      <c r="C22" s="45"/>
      <c r="D22" s="45"/>
      <c r="E22" s="69"/>
      <c r="F22" s="69"/>
      <c r="G22" s="69"/>
      <c r="H22" s="68"/>
    </row>
    <row r="23" spans="1:8" ht="12.75">
      <c r="A23" s="78" t="s">
        <v>352</v>
      </c>
      <c r="B23" s="78" t="s">
        <v>353</v>
      </c>
      <c r="C23" s="79" t="s">
        <v>354</v>
      </c>
      <c r="D23" s="78"/>
      <c r="E23" s="79" t="s">
        <v>264</v>
      </c>
      <c r="F23" s="79" t="s">
        <v>255</v>
      </c>
      <c r="G23" s="79" t="s">
        <v>355</v>
      </c>
      <c r="H23" s="79" t="s">
        <v>356</v>
      </c>
    </row>
    <row r="24" spans="2:8" ht="12.75">
      <c r="B24" t="s">
        <v>357</v>
      </c>
      <c r="C24" s="80">
        <f>C29+C30+C31</f>
        <v>24</v>
      </c>
      <c r="E24" s="81">
        <f>((C13*C11*(C12+C13*6))/9+C18)*C24/36</f>
        <v>39893.333333333336</v>
      </c>
      <c r="F24" s="82" t="s">
        <v>358</v>
      </c>
      <c r="G24" s="83">
        <f>VLOOKUP($B$6,PayItems!A5:$E$19,5,FALSE)</f>
        <v>15</v>
      </c>
      <c r="H24" s="84">
        <f aca="true" t="shared" si="0" ref="H24:H31">G24*E24</f>
        <v>598400</v>
      </c>
    </row>
    <row r="25" spans="2:8" ht="12.75">
      <c r="B25" t="s">
        <v>359</v>
      </c>
      <c r="C25" s="75">
        <v>6</v>
      </c>
      <c r="E25" s="81">
        <f>C11*(C15*2+C16)*C25/(9*36)</f>
        <v>4204.444444444444</v>
      </c>
      <c r="F25" s="82" t="s">
        <v>358</v>
      </c>
      <c r="G25" s="83">
        <f>VLOOKUP($B$6,PayItems!$A$20:$E$34,5,FALSE)</f>
        <v>10</v>
      </c>
      <c r="H25" s="84">
        <f t="shared" si="0"/>
        <v>42044.444444444445</v>
      </c>
    </row>
    <row r="26" spans="2:8" ht="12.75">
      <c r="B26" t="s">
        <v>360</v>
      </c>
      <c r="C26" s="75">
        <v>12</v>
      </c>
      <c r="E26" s="81">
        <f>C13*C11*(C12+6)*C26/(12*36)</f>
        <v>13200</v>
      </c>
      <c r="F26" s="82" t="s">
        <v>358</v>
      </c>
      <c r="G26" s="83">
        <f>VLOOKUP($B$6,PayItems!$A$35:$E$49,5,FALSE)</f>
        <v>20</v>
      </c>
      <c r="H26" s="84">
        <f t="shared" si="0"/>
        <v>264000</v>
      </c>
    </row>
    <row r="27" spans="2:8" ht="12.75">
      <c r="B27" t="s">
        <v>361</v>
      </c>
      <c r="C27" s="85"/>
      <c r="E27" s="81">
        <f>2*C13*C11</f>
        <v>21120</v>
      </c>
      <c r="F27" s="82" t="s">
        <v>362</v>
      </c>
      <c r="G27" s="83">
        <f>VLOOKUP($B$6,PayItems!$A$50:$E$64,5,FALSE)</f>
        <v>20</v>
      </c>
      <c r="H27" s="84">
        <f t="shared" si="0"/>
        <v>422400</v>
      </c>
    </row>
    <row r="28" spans="2:8" ht="12.75">
      <c r="B28" t="s">
        <v>363</v>
      </c>
      <c r="C28" s="85"/>
      <c r="E28" s="81">
        <f>C11*C20*C19</f>
        <v>63360</v>
      </c>
      <c r="F28" s="82" t="s">
        <v>364</v>
      </c>
      <c r="G28" s="83">
        <f>VLOOKUP($B$6,PayItems!$A$65:$E$79,5,FALSE)</f>
        <v>6</v>
      </c>
      <c r="H28" s="84">
        <f t="shared" si="0"/>
        <v>380160</v>
      </c>
    </row>
    <row r="29" spans="2:8" ht="12.75">
      <c r="B29" t="s">
        <v>365</v>
      </c>
      <c r="C29" s="75">
        <v>0</v>
      </c>
      <c r="E29" s="86">
        <f>((C13*C11*C12)/9+C18)*C29/36</f>
        <v>0</v>
      </c>
      <c r="F29" s="82" t="s">
        <v>358</v>
      </c>
      <c r="G29" s="83">
        <f>VLOOKUP($B$6,PayItems!$A$80:$E$94,5,FALSE)</f>
        <v>400</v>
      </c>
      <c r="H29" s="84">
        <f t="shared" si="0"/>
        <v>0</v>
      </c>
    </row>
    <row r="30" spans="2:8" ht="12.75">
      <c r="B30" t="s">
        <v>366</v>
      </c>
      <c r="C30" s="75">
        <v>6</v>
      </c>
      <c r="E30" s="81">
        <f>2*((C13*C11*(C12-3))/9+C18)*C30/36</f>
        <v>14080</v>
      </c>
      <c r="F30" s="82" t="s">
        <v>367</v>
      </c>
      <c r="G30" s="83">
        <f>VLOOKUP($B$6,PayItems!$A$95:$E$109,5,FALSE)</f>
        <v>80</v>
      </c>
      <c r="H30" s="84">
        <f t="shared" si="0"/>
        <v>1126400</v>
      </c>
    </row>
    <row r="31" spans="1:8" ht="12.75">
      <c r="A31" s="87"/>
      <c r="B31" s="87" t="s">
        <v>368</v>
      </c>
      <c r="C31" s="75">
        <v>18</v>
      </c>
      <c r="D31" s="87"/>
      <c r="E31" s="88">
        <f>((C13*C11*(C12+6))/9+C18)*C31/36</f>
        <v>26400</v>
      </c>
      <c r="F31" s="89" t="s">
        <v>358</v>
      </c>
      <c r="G31" s="90">
        <f>VLOOKUP($B$6,PayItems!$A$110:$E$124,5,FALSE)</f>
        <v>15</v>
      </c>
      <c r="H31" s="91">
        <f t="shared" si="0"/>
        <v>396000</v>
      </c>
    </row>
    <row r="32" spans="7:8" ht="12.75">
      <c r="G32" s="92" t="s">
        <v>369</v>
      </c>
      <c r="H32" s="93">
        <f>SUM(H24:H31)</f>
        <v>3229404.4444444445</v>
      </c>
    </row>
    <row r="34" spans="1:8" ht="12.75">
      <c r="A34" s="68" t="s">
        <v>370</v>
      </c>
      <c r="B34" s="45"/>
      <c r="C34" s="45"/>
      <c r="D34" s="45"/>
      <c r="E34" s="69"/>
      <c r="F34" s="69"/>
      <c r="G34" s="69"/>
      <c r="H34" s="68"/>
    </row>
    <row r="35" spans="2:8" ht="12.75">
      <c r="B35" s="78" t="s">
        <v>353</v>
      </c>
      <c r="D35" s="78" t="s">
        <v>266</v>
      </c>
      <c r="G35" s="79" t="s">
        <v>267</v>
      </c>
      <c r="H35" s="79" t="s">
        <v>265</v>
      </c>
    </row>
    <row r="36" spans="2:8" ht="12.75">
      <c r="B36" t="s">
        <v>371</v>
      </c>
      <c r="D36" t="s">
        <v>372</v>
      </c>
      <c r="G36" s="94">
        <f>VLOOKUP($B$6,PayItems!$A$5:$H$19,8,FALSE)</f>
        <v>0.6</v>
      </c>
      <c r="H36" s="95">
        <f aca="true" t="shared" si="1" ref="H36:H41">H$32*G36</f>
        <v>1937642.6666666665</v>
      </c>
    </row>
    <row r="37" spans="2:8" ht="12.75">
      <c r="B37" t="s">
        <v>373</v>
      </c>
      <c r="G37" s="94">
        <f>VLOOKUP($B$6,PayItems!$A$20:$H$34,8,FALSE)</f>
        <v>0.1</v>
      </c>
      <c r="H37" s="95">
        <f t="shared" si="1"/>
        <v>322940.4444444445</v>
      </c>
    </row>
    <row r="38" spans="2:8" ht="12.75">
      <c r="B38" t="s">
        <v>374</v>
      </c>
      <c r="D38" s="96"/>
      <c r="G38" s="94">
        <v>0.05</v>
      </c>
      <c r="H38" s="95">
        <f t="shared" si="1"/>
        <v>161470.22222222225</v>
      </c>
    </row>
    <row r="39" spans="2:8" ht="12.75">
      <c r="B39" t="s">
        <v>268</v>
      </c>
      <c r="G39" s="94">
        <f>VLOOKUP($B$6,PayItems!$A$50:$H$64,8,FALSE)</f>
        <v>0.05</v>
      </c>
      <c r="H39" s="95">
        <f t="shared" si="1"/>
        <v>161470.22222222225</v>
      </c>
    </row>
    <row r="40" spans="2:8" ht="12.75">
      <c r="B40" t="s">
        <v>375</v>
      </c>
      <c r="G40" s="94">
        <f>VLOOKUP($B$6,PayItems!$A$65:$H$79,8,FALSE)</f>
        <v>0.06</v>
      </c>
      <c r="H40" s="95">
        <f t="shared" si="1"/>
        <v>193764.26666666666</v>
      </c>
    </row>
    <row r="41" spans="1:8" ht="12.75">
      <c r="A41" s="87"/>
      <c r="B41" s="87" t="s">
        <v>376</v>
      </c>
      <c r="C41" s="87"/>
      <c r="D41" s="87"/>
      <c r="E41" s="87"/>
      <c r="F41" s="87"/>
      <c r="G41" s="97">
        <f>VLOOKUP($B$6,PayItems!$A$80:$H$94,8,FALSE)</f>
        <v>0.04</v>
      </c>
      <c r="H41" s="98">
        <f t="shared" si="1"/>
        <v>129176.17777777779</v>
      </c>
    </row>
    <row r="42" spans="7:8" ht="12.75">
      <c r="G42" s="92" t="s">
        <v>377</v>
      </c>
      <c r="H42" s="93">
        <f>SUM(H36:H41)</f>
        <v>2906463.9999999995</v>
      </c>
    </row>
    <row r="43" spans="1:8" ht="13.5" thickBot="1">
      <c r="A43" s="99"/>
      <c r="B43" s="99"/>
      <c r="C43" s="99"/>
      <c r="D43" s="99"/>
      <c r="E43" s="99"/>
      <c r="F43" s="99"/>
      <c r="G43" s="99"/>
      <c r="H43" s="99"/>
    </row>
    <row r="44" spans="7:8" ht="12.75">
      <c r="G44" s="100" t="s">
        <v>378</v>
      </c>
      <c r="H44" s="101">
        <f>H32+H42</f>
        <v>6135868.444444444</v>
      </c>
    </row>
    <row r="46" spans="1:8" ht="12.75">
      <c r="A46" s="68" t="s">
        <v>379</v>
      </c>
      <c r="B46" s="45"/>
      <c r="C46" s="45"/>
      <c r="D46" s="45"/>
      <c r="E46" s="69"/>
      <c r="F46" s="69"/>
      <c r="G46" s="69"/>
      <c r="H46" s="68"/>
    </row>
    <row r="47" spans="2:8" ht="12.75">
      <c r="B47" s="78" t="s">
        <v>353</v>
      </c>
      <c r="D47" s="78" t="s">
        <v>266</v>
      </c>
      <c r="G47" s="79" t="s">
        <v>267</v>
      </c>
      <c r="H47" s="79" t="s">
        <v>265</v>
      </c>
    </row>
    <row r="48" spans="2:8" ht="12.75">
      <c r="B48" t="s">
        <v>380</v>
      </c>
      <c r="D48" t="s">
        <v>381</v>
      </c>
      <c r="G48" s="94">
        <f>VLOOKUP($B$6,PayItems!A5:$K$19,11,FALSE)</f>
        <v>0.25</v>
      </c>
      <c r="H48" s="95">
        <f>H$44*G48</f>
        <v>1533967.111111111</v>
      </c>
    </row>
    <row r="49" spans="2:8" ht="12.75">
      <c r="B49" t="s">
        <v>382</v>
      </c>
      <c r="D49" t="s">
        <v>383</v>
      </c>
      <c r="G49" s="94">
        <f>VLOOKUP($B$6,PayItems!$A$20:$K$34,11,FALSE)</f>
        <v>0.12</v>
      </c>
      <c r="H49" s="95">
        <f>H$44*G49</f>
        <v>736304.2133333333</v>
      </c>
    </row>
    <row r="50" spans="2:8" ht="12.75">
      <c r="B50" t="s">
        <v>384</v>
      </c>
      <c r="D50" t="s">
        <v>385</v>
      </c>
      <c r="G50" s="94">
        <f>VLOOKUP($B$6,PayItems!$A$35:$K$49,11,FALSE)</f>
        <v>0.05</v>
      </c>
      <c r="H50" s="95">
        <f>H$44*G50</f>
        <v>306793.4222222222</v>
      </c>
    </row>
    <row r="51" spans="2:8" ht="12.75">
      <c r="B51" t="s">
        <v>386</v>
      </c>
      <c r="G51" s="94">
        <f>VLOOKUP($B$6,PayItems!$A$50:$K$64,11,FALSE)</f>
        <v>0.15</v>
      </c>
      <c r="H51" s="95">
        <f>H$44*G51</f>
        <v>920380.2666666666</v>
      </c>
    </row>
    <row r="52" spans="1:8" ht="12.75">
      <c r="A52" s="87"/>
      <c r="B52" s="87" t="s">
        <v>387</v>
      </c>
      <c r="C52" s="87"/>
      <c r="D52" s="87"/>
      <c r="E52" s="87"/>
      <c r="F52" s="87"/>
      <c r="G52" s="97">
        <f>VLOOKUP($B$6,PayItems!$A$65:$K$79,11,FALSE)</f>
        <v>0</v>
      </c>
      <c r="H52" s="98">
        <f>H$57*G52</f>
        <v>0</v>
      </c>
    </row>
    <row r="53" spans="7:8" ht="12.75">
      <c r="G53" s="92" t="s">
        <v>388</v>
      </c>
      <c r="H53" s="93">
        <f>SUM(H48:H52)</f>
        <v>3497445.013333333</v>
      </c>
    </row>
    <row r="55" spans="1:8" ht="12.75">
      <c r="A55" s="68" t="s">
        <v>498</v>
      </c>
      <c r="B55" s="45"/>
      <c r="C55" s="45"/>
      <c r="D55" s="45"/>
      <c r="E55" s="69"/>
      <c r="F55" s="69"/>
      <c r="G55" s="69"/>
      <c r="H55" s="68"/>
    </row>
    <row r="56" spans="2:8" ht="12.75">
      <c r="B56" s="78" t="s">
        <v>352</v>
      </c>
      <c r="D56" s="78" t="s">
        <v>266</v>
      </c>
      <c r="H56" s="79" t="s">
        <v>265</v>
      </c>
    </row>
    <row r="57" spans="2:8" ht="12.75">
      <c r="B57" t="s">
        <v>389</v>
      </c>
      <c r="G57" s="79"/>
      <c r="H57" s="102">
        <f>H32</f>
        <v>3229404.4444444445</v>
      </c>
    </row>
    <row r="58" spans="2:8" ht="12.75">
      <c r="B58" t="s">
        <v>390</v>
      </c>
      <c r="H58" s="95">
        <f>H42</f>
        <v>2906463.9999999995</v>
      </c>
    </row>
    <row r="59" spans="1:8" ht="12.75">
      <c r="A59" s="87"/>
      <c r="B59" s="87" t="s">
        <v>391</v>
      </c>
      <c r="C59" s="87"/>
      <c r="D59" s="87"/>
      <c r="E59" s="87"/>
      <c r="F59" s="87"/>
      <c r="G59" s="87"/>
      <c r="H59" s="98">
        <f>H53</f>
        <v>3497445.013333333</v>
      </c>
    </row>
    <row r="60" spans="7:8" ht="12.75">
      <c r="G60" s="92" t="s">
        <v>392</v>
      </c>
      <c r="H60" s="103">
        <f>SUM(H57:H59)</f>
        <v>9633313.457777778</v>
      </c>
    </row>
  </sheetData>
  <sheetProtection password="FFAE" sheet="1" selectLockedCells="1"/>
  <printOptions/>
  <pageMargins left="0.75" right="0.75" top="1" bottom="1" header="0.5" footer="0.5"/>
  <pageSetup fitToHeight="1" fitToWidth="1" horizontalDpi="600" verticalDpi="600" orientation="portrait" scale="86" r:id="rId2"/>
  <drawing r:id="rId1"/>
</worksheet>
</file>

<file path=xl/worksheets/sheet19.xml><?xml version="1.0" encoding="utf-8"?>
<worksheet xmlns="http://schemas.openxmlformats.org/spreadsheetml/2006/main" xmlns:r="http://schemas.openxmlformats.org/officeDocument/2006/relationships">
  <sheetPr>
    <pageSetUpPr fitToPage="1"/>
  </sheetPr>
  <dimension ref="A1:H60"/>
  <sheetViews>
    <sheetView view="pageBreakPreview" zoomScaleSheetLayoutView="100" zoomScalePageLayoutView="0" workbookViewId="0" topLeftCell="A1">
      <selection activeCell="B6" sqref="B6"/>
    </sheetView>
  </sheetViews>
  <sheetFormatPr defaultColWidth="9.140625" defaultRowHeight="12.75"/>
  <cols>
    <col min="1" max="1" width="6.57421875" style="0" customWidth="1"/>
    <col min="2" max="2" width="24.7109375" style="0" customWidth="1"/>
    <col min="3" max="3" width="18.7109375" style="0" customWidth="1"/>
    <col min="4" max="4" width="13.8515625" style="0" customWidth="1"/>
    <col min="5" max="5" width="8.7109375" style="0" customWidth="1"/>
    <col min="6" max="6" width="5.8515625" style="0" customWidth="1"/>
    <col min="7" max="7" width="8.7109375" style="0" customWidth="1"/>
    <col min="8" max="8" width="12.57421875" style="0" customWidth="1"/>
    <col min="9" max="9" width="3.7109375" style="0" customWidth="1"/>
  </cols>
  <sheetData>
    <row r="1" spans="1:8" ht="17.25">
      <c r="A1" s="65" t="s">
        <v>333</v>
      </c>
      <c r="H1" s="66">
        <v>41102</v>
      </c>
    </row>
    <row r="2" ht="13.5">
      <c r="A2" s="67" t="s">
        <v>415</v>
      </c>
    </row>
    <row r="3" ht="13.5">
      <c r="A3" s="67" t="s">
        <v>258</v>
      </c>
    </row>
    <row r="5" spans="1:8" ht="12.75">
      <c r="A5" s="68" t="s">
        <v>259</v>
      </c>
      <c r="B5" s="45"/>
      <c r="C5" s="45"/>
      <c r="D5" s="69" t="s">
        <v>260</v>
      </c>
      <c r="E5" s="45"/>
      <c r="F5" s="69"/>
      <c r="G5" s="69" t="s">
        <v>334</v>
      </c>
      <c r="H5" s="68" t="s">
        <v>335</v>
      </c>
    </row>
    <row r="6" spans="1:2" ht="12.75">
      <c r="A6" s="70" t="s">
        <v>261</v>
      </c>
      <c r="B6" s="71" t="s">
        <v>421</v>
      </c>
    </row>
    <row r="7" spans="1:2" ht="12.75">
      <c r="A7" s="70" t="s">
        <v>262</v>
      </c>
      <c r="B7" s="71" t="s">
        <v>459</v>
      </c>
    </row>
    <row r="8" spans="2:3" ht="12.75">
      <c r="B8" s="72" t="s">
        <v>337</v>
      </c>
      <c r="C8" s="73" t="s">
        <v>38</v>
      </c>
    </row>
    <row r="9" spans="2:3" ht="12.75">
      <c r="B9" s="72" t="s">
        <v>338</v>
      </c>
      <c r="C9" s="73" t="s">
        <v>339</v>
      </c>
    </row>
    <row r="10" spans="2:3" ht="12.75">
      <c r="B10" s="72" t="s">
        <v>340</v>
      </c>
      <c r="C10" s="73" t="s">
        <v>414</v>
      </c>
    </row>
    <row r="11" spans="2:3" ht="12.75">
      <c r="B11" s="72" t="s">
        <v>342</v>
      </c>
      <c r="C11" s="74">
        <v>5280</v>
      </c>
    </row>
    <row r="12" spans="2:3" ht="12.75">
      <c r="B12" s="72" t="s">
        <v>343</v>
      </c>
      <c r="C12" s="74">
        <v>51</v>
      </c>
    </row>
    <row r="13" spans="2:3" ht="12.75">
      <c r="B13" s="72" t="s">
        <v>344</v>
      </c>
      <c r="C13" s="75">
        <v>2</v>
      </c>
    </row>
    <row r="14" spans="2:3" ht="12.75">
      <c r="B14" s="72" t="s">
        <v>345</v>
      </c>
      <c r="C14" s="76">
        <f>C11*C12*C13/9</f>
        <v>59840</v>
      </c>
    </row>
    <row r="15" spans="2:3" ht="12.75">
      <c r="B15" s="72" t="s">
        <v>346</v>
      </c>
      <c r="C15" s="74">
        <v>13</v>
      </c>
    </row>
    <row r="16" spans="2:3" ht="12.75">
      <c r="B16" s="72" t="s">
        <v>347</v>
      </c>
      <c r="C16" s="75">
        <v>23</v>
      </c>
    </row>
    <row r="17" spans="2:3" ht="12.75">
      <c r="B17" s="72" t="s">
        <v>348</v>
      </c>
      <c r="C17" s="77">
        <v>0</v>
      </c>
    </row>
    <row r="18" spans="2:3" ht="12.75">
      <c r="B18" s="72" t="s">
        <v>349</v>
      </c>
      <c r="C18" s="76">
        <f>C14*C17</f>
        <v>0</v>
      </c>
    </row>
    <row r="19" spans="2:3" ht="12.75">
      <c r="B19" s="72" t="s">
        <v>350</v>
      </c>
      <c r="C19" s="74">
        <v>6</v>
      </c>
    </row>
    <row r="20" spans="2:3" ht="12.75">
      <c r="B20" s="72" t="s">
        <v>351</v>
      </c>
      <c r="C20" s="75">
        <v>2</v>
      </c>
    </row>
    <row r="22" spans="1:8" ht="12.75">
      <c r="A22" s="68" t="s">
        <v>263</v>
      </c>
      <c r="B22" s="45"/>
      <c r="C22" s="45"/>
      <c r="D22" s="45"/>
      <c r="E22" s="69"/>
      <c r="F22" s="69"/>
      <c r="G22" s="69"/>
      <c r="H22" s="68"/>
    </row>
    <row r="23" spans="1:8" ht="12.75">
      <c r="A23" s="78" t="s">
        <v>352</v>
      </c>
      <c r="B23" s="78" t="s">
        <v>353</v>
      </c>
      <c r="C23" s="79" t="s">
        <v>354</v>
      </c>
      <c r="D23" s="78"/>
      <c r="E23" s="79" t="s">
        <v>264</v>
      </c>
      <c r="F23" s="79" t="s">
        <v>255</v>
      </c>
      <c r="G23" s="79" t="s">
        <v>355</v>
      </c>
      <c r="H23" s="79" t="s">
        <v>356</v>
      </c>
    </row>
    <row r="24" spans="2:8" ht="12.75">
      <c r="B24" t="s">
        <v>357</v>
      </c>
      <c r="C24" s="80">
        <f>C29+C30+C31</f>
        <v>24</v>
      </c>
      <c r="E24" s="81">
        <f>((C13*C11*(C12+C13*6))/9+C18)*C24/36</f>
        <v>49280</v>
      </c>
      <c r="F24" s="82" t="s">
        <v>358</v>
      </c>
      <c r="G24" s="83">
        <f>VLOOKUP($B$6,PayItems!A5:$E$19,5,FALSE)</f>
        <v>15</v>
      </c>
      <c r="H24" s="84">
        <f aca="true" t="shared" si="0" ref="H24:H31">G24*E24</f>
        <v>739200</v>
      </c>
    </row>
    <row r="25" spans="2:8" ht="12.75">
      <c r="B25" t="s">
        <v>359</v>
      </c>
      <c r="C25" s="75">
        <v>6</v>
      </c>
      <c r="E25" s="81">
        <f>C11*(C15*2+C16)*C25/(9*36)</f>
        <v>4791.111111111111</v>
      </c>
      <c r="F25" s="82" t="s">
        <v>358</v>
      </c>
      <c r="G25" s="83">
        <f>VLOOKUP($B$6,PayItems!$A$20:$E$34,5,FALSE)</f>
        <v>10</v>
      </c>
      <c r="H25" s="84">
        <f t="shared" si="0"/>
        <v>47911.11111111111</v>
      </c>
    </row>
    <row r="26" spans="2:8" ht="12.75">
      <c r="B26" t="s">
        <v>360</v>
      </c>
      <c r="C26" s="75">
        <v>12</v>
      </c>
      <c r="E26" s="81">
        <f>C13*C11*(C12+6)*C26/(12*36)</f>
        <v>16720</v>
      </c>
      <c r="F26" s="82" t="s">
        <v>358</v>
      </c>
      <c r="G26" s="83">
        <f>VLOOKUP($B$6,PayItems!$A$35:$E$49,5,FALSE)</f>
        <v>20</v>
      </c>
      <c r="H26" s="84">
        <f t="shared" si="0"/>
        <v>334400</v>
      </c>
    </row>
    <row r="27" spans="2:8" ht="12.75">
      <c r="B27" t="s">
        <v>361</v>
      </c>
      <c r="C27" s="85"/>
      <c r="E27" s="81">
        <f>2*C13*C11</f>
        <v>21120</v>
      </c>
      <c r="F27" s="82" t="s">
        <v>362</v>
      </c>
      <c r="G27" s="83">
        <f>VLOOKUP($B$6,PayItems!$A$50:$E$64,5,FALSE)</f>
        <v>20</v>
      </c>
      <c r="H27" s="84">
        <f t="shared" si="0"/>
        <v>422400</v>
      </c>
    </row>
    <row r="28" spans="2:8" ht="12.75">
      <c r="B28" t="s">
        <v>363</v>
      </c>
      <c r="C28" s="85"/>
      <c r="E28" s="81">
        <f>C11*C20*C19</f>
        <v>63360</v>
      </c>
      <c r="F28" s="82" t="s">
        <v>364</v>
      </c>
      <c r="G28" s="83">
        <f>VLOOKUP($B$6,PayItems!$A$65:$E$79,5,FALSE)</f>
        <v>6</v>
      </c>
      <c r="H28" s="84">
        <f t="shared" si="0"/>
        <v>380160</v>
      </c>
    </row>
    <row r="29" spans="2:8" ht="12.75">
      <c r="B29" t="s">
        <v>365</v>
      </c>
      <c r="C29" s="75">
        <v>0</v>
      </c>
      <c r="E29" s="86">
        <f>((C13*C11*C12)/9+C18)*C29/36</f>
        <v>0</v>
      </c>
      <c r="F29" s="82" t="s">
        <v>358</v>
      </c>
      <c r="G29" s="83">
        <f>VLOOKUP($B$6,PayItems!$A$80:$E$94,5,FALSE)</f>
        <v>400</v>
      </c>
      <c r="H29" s="84">
        <f t="shared" si="0"/>
        <v>0</v>
      </c>
    </row>
    <row r="30" spans="2:8" ht="12.75">
      <c r="B30" t="s">
        <v>366</v>
      </c>
      <c r="C30" s="75">
        <v>6</v>
      </c>
      <c r="E30" s="81">
        <f>2*((C13*C11*(C12-3))/9+C18)*C30/36</f>
        <v>18773.333333333332</v>
      </c>
      <c r="F30" s="82" t="s">
        <v>367</v>
      </c>
      <c r="G30" s="83">
        <f>VLOOKUP($B$6,PayItems!$A$95:$E$109,5,FALSE)</f>
        <v>80</v>
      </c>
      <c r="H30" s="84">
        <f t="shared" si="0"/>
        <v>1501866.6666666665</v>
      </c>
    </row>
    <row r="31" spans="1:8" ht="12.75">
      <c r="A31" s="87"/>
      <c r="B31" s="87" t="s">
        <v>368</v>
      </c>
      <c r="C31" s="75">
        <v>18</v>
      </c>
      <c r="D31" s="87"/>
      <c r="E31" s="88">
        <f>((C13*C11*(C12+6))/9+C18)*C31/36</f>
        <v>33440</v>
      </c>
      <c r="F31" s="89" t="s">
        <v>358</v>
      </c>
      <c r="G31" s="90">
        <f>VLOOKUP($B$6,PayItems!$A$110:$E$124,5,FALSE)</f>
        <v>15</v>
      </c>
      <c r="H31" s="91">
        <f t="shared" si="0"/>
        <v>501600</v>
      </c>
    </row>
    <row r="32" spans="7:8" ht="12.75">
      <c r="G32" s="92" t="s">
        <v>369</v>
      </c>
      <c r="H32" s="93">
        <f>SUM(H24:H31)</f>
        <v>3927537.7777777775</v>
      </c>
    </row>
    <row r="34" spans="1:8" ht="12.75">
      <c r="A34" s="68" t="s">
        <v>370</v>
      </c>
      <c r="B34" s="45"/>
      <c r="C34" s="45"/>
      <c r="D34" s="45"/>
      <c r="E34" s="69"/>
      <c r="F34" s="69"/>
      <c r="G34" s="69"/>
      <c r="H34" s="68"/>
    </row>
    <row r="35" spans="2:8" ht="12.75">
      <c r="B35" s="78" t="s">
        <v>353</v>
      </c>
      <c r="D35" s="78" t="s">
        <v>266</v>
      </c>
      <c r="G35" s="79" t="s">
        <v>267</v>
      </c>
      <c r="H35" s="79" t="s">
        <v>265</v>
      </c>
    </row>
    <row r="36" spans="2:8" ht="12.75">
      <c r="B36" t="s">
        <v>371</v>
      </c>
      <c r="D36" t="s">
        <v>372</v>
      </c>
      <c r="G36" s="94">
        <f>VLOOKUP($B$6,PayItems!$A$5:$H$19,8,FALSE)</f>
        <v>0.6</v>
      </c>
      <c r="H36" s="95">
        <f aca="true" t="shared" si="1" ref="H36:H41">H$32*G36</f>
        <v>2356522.6666666665</v>
      </c>
    </row>
    <row r="37" spans="2:8" ht="12.75">
      <c r="B37" t="s">
        <v>373</v>
      </c>
      <c r="G37" s="94">
        <f>VLOOKUP($B$6,PayItems!$A$20:$H$34,8,FALSE)</f>
        <v>0.1</v>
      </c>
      <c r="H37" s="95">
        <f t="shared" si="1"/>
        <v>392753.77777777775</v>
      </c>
    </row>
    <row r="38" spans="2:8" ht="12.75">
      <c r="B38" t="s">
        <v>374</v>
      </c>
      <c r="D38" s="96"/>
      <c r="G38" s="94">
        <v>0.05</v>
      </c>
      <c r="H38" s="95">
        <f t="shared" si="1"/>
        <v>196376.88888888888</v>
      </c>
    </row>
    <row r="39" spans="2:8" ht="12.75">
      <c r="B39" t="s">
        <v>268</v>
      </c>
      <c r="G39" s="94">
        <f>VLOOKUP($B$6,PayItems!$A$50:$H$64,8,FALSE)</f>
        <v>0.05</v>
      </c>
      <c r="H39" s="95">
        <f t="shared" si="1"/>
        <v>196376.88888888888</v>
      </c>
    </row>
    <row r="40" spans="2:8" ht="12.75">
      <c r="B40" t="s">
        <v>375</v>
      </c>
      <c r="G40" s="94">
        <f>VLOOKUP($B$6,PayItems!$A$65:$H$79,8,FALSE)</f>
        <v>0.06</v>
      </c>
      <c r="H40" s="95">
        <f t="shared" si="1"/>
        <v>235652.26666666663</v>
      </c>
    </row>
    <row r="41" spans="1:8" ht="12.75">
      <c r="A41" s="87"/>
      <c r="B41" s="87" t="s">
        <v>376</v>
      </c>
      <c r="C41" s="87"/>
      <c r="D41" s="87"/>
      <c r="E41" s="87"/>
      <c r="F41" s="87"/>
      <c r="G41" s="97">
        <f>VLOOKUP($B$6,PayItems!$A$80:$H$94,8,FALSE)</f>
        <v>0.04</v>
      </c>
      <c r="H41" s="98">
        <f t="shared" si="1"/>
        <v>157101.51111111112</v>
      </c>
    </row>
    <row r="42" spans="7:8" ht="12.75">
      <c r="G42" s="92" t="s">
        <v>377</v>
      </c>
      <c r="H42" s="93">
        <f>SUM(H36:H41)</f>
        <v>3534783.9999999995</v>
      </c>
    </row>
    <row r="43" spans="1:8" ht="13.5" thickBot="1">
      <c r="A43" s="99"/>
      <c r="B43" s="99"/>
      <c r="C43" s="99"/>
      <c r="D43" s="99"/>
      <c r="E43" s="99"/>
      <c r="F43" s="99"/>
      <c r="G43" s="99"/>
      <c r="H43" s="99"/>
    </row>
    <row r="44" spans="7:8" ht="12.75">
      <c r="G44" s="100" t="s">
        <v>378</v>
      </c>
      <c r="H44" s="101">
        <f>H32+H42</f>
        <v>7462321.777777777</v>
      </c>
    </row>
    <row r="46" spans="1:8" ht="12.75">
      <c r="A46" s="68" t="s">
        <v>379</v>
      </c>
      <c r="B46" s="45"/>
      <c r="C46" s="45"/>
      <c r="D46" s="45"/>
      <c r="E46" s="69"/>
      <c r="F46" s="69"/>
      <c r="G46" s="69"/>
      <c r="H46" s="68"/>
    </row>
    <row r="47" spans="2:8" ht="12.75">
      <c r="B47" s="78" t="s">
        <v>353</v>
      </c>
      <c r="D47" s="78" t="s">
        <v>266</v>
      </c>
      <c r="G47" s="79" t="s">
        <v>267</v>
      </c>
      <c r="H47" s="79" t="s">
        <v>265</v>
      </c>
    </row>
    <row r="48" spans="2:8" ht="12.75">
      <c r="B48" t="s">
        <v>380</v>
      </c>
      <c r="D48" t="s">
        <v>381</v>
      </c>
      <c r="G48" s="94">
        <f>VLOOKUP($B$6,PayItems!A5:$K$19,11,FALSE)</f>
        <v>0.25</v>
      </c>
      <c r="H48" s="95">
        <f>H$44*G48</f>
        <v>1865580.4444444443</v>
      </c>
    </row>
    <row r="49" spans="2:8" ht="12.75">
      <c r="B49" t="s">
        <v>382</v>
      </c>
      <c r="D49" t="s">
        <v>383</v>
      </c>
      <c r="G49" s="94">
        <f>VLOOKUP($B$6,PayItems!$A$20:$K$34,11,FALSE)</f>
        <v>0.12</v>
      </c>
      <c r="H49" s="95">
        <f>H$44*G49</f>
        <v>895478.6133333332</v>
      </c>
    </row>
    <row r="50" spans="2:8" ht="12.75">
      <c r="B50" t="s">
        <v>384</v>
      </c>
      <c r="D50" t="s">
        <v>385</v>
      </c>
      <c r="G50" s="94">
        <f>VLOOKUP($B$6,PayItems!$A$35:$K$49,11,FALSE)</f>
        <v>0.05</v>
      </c>
      <c r="H50" s="95">
        <f>H$44*G50</f>
        <v>373116.0888888889</v>
      </c>
    </row>
    <row r="51" spans="2:8" ht="12.75">
      <c r="B51" t="s">
        <v>386</v>
      </c>
      <c r="G51" s="94">
        <f>VLOOKUP($B$6,PayItems!$A$50:$K$64,11,FALSE)</f>
        <v>0.15</v>
      </c>
      <c r="H51" s="95">
        <f>H$44*G51</f>
        <v>1119348.2666666666</v>
      </c>
    </row>
    <row r="52" spans="1:8" ht="12.75">
      <c r="A52" s="87"/>
      <c r="B52" s="87" t="s">
        <v>387</v>
      </c>
      <c r="C52" s="87"/>
      <c r="D52" s="87"/>
      <c r="E52" s="87"/>
      <c r="F52" s="87"/>
      <c r="G52" s="97">
        <f>VLOOKUP($B$6,PayItems!$A$65:$K$79,11,FALSE)</f>
        <v>0</v>
      </c>
      <c r="H52" s="98">
        <f>H$57*G52</f>
        <v>0</v>
      </c>
    </row>
    <row r="53" spans="7:8" ht="12.75">
      <c r="G53" s="92" t="s">
        <v>388</v>
      </c>
      <c r="H53" s="93">
        <f>SUM(H48:H52)</f>
        <v>4253523.413333332</v>
      </c>
    </row>
    <row r="55" spans="1:8" ht="12.75">
      <c r="A55" s="68" t="s">
        <v>498</v>
      </c>
      <c r="B55" s="45"/>
      <c r="C55" s="45"/>
      <c r="D55" s="45"/>
      <c r="E55" s="69"/>
      <c r="F55" s="69"/>
      <c r="G55" s="69"/>
      <c r="H55" s="68"/>
    </row>
    <row r="56" spans="2:8" ht="12.75">
      <c r="B56" s="78" t="s">
        <v>352</v>
      </c>
      <c r="D56" s="78" t="s">
        <v>266</v>
      </c>
      <c r="H56" s="79" t="s">
        <v>265</v>
      </c>
    </row>
    <row r="57" spans="2:8" ht="12.75">
      <c r="B57" t="s">
        <v>389</v>
      </c>
      <c r="G57" s="79"/>
      <c r="H57" s="102">
        <f>H32</f>
        <v>3927537.7777777775</v>
      </c>
    </row>
    <row r="58" spans="2:8" ht="12.75">
      <c r="B58" t="s">
        <v>390</v>
      </c>
      <c r="H58" s="95">
        <f>H42</f>
        <v>3534783.9999999995</v>
      </c>
    </row>
    <row r="59" spans="1:8" ht="12.75">
      <c r="A59" s="87"/>
      <c r="B59" s="87" t="s">
        <v>391</v>
      </c>
      <c r="C59" s="87"/>
      <c r="D59" s="87"/>
      <c r="E59" s="87"/>
      <c r="F59" s="87"/>
      <c r="G59" s="87"/>
      <c r="H59" s="98">
        <f>H53</f>
        <v>4253523.413333332</v>
      </c>
    </row>
    <row r="60" spans="7:8" ht="12.75">
      <c r="G60" s="92" t="s">
        <v>392</v>
      </c>
      <c r="H60" s="103">
        <f>SUM(H57:H59)</f>
        <v>11715845.19111111</v>
      </c>
    </row>
  </sheetData>
  <sheetProtection password="FFAE" sheet="1" selectLockedCells="1"/>
  <printOptions/>
  <pageMargins left="0.75" right="0.75" top="1" bottom="1" header="0.5" footer="0.5"/>
  <pageSetup fitToHeight="1" fitToWidth="1" horizontalDpi="600" verticalDpi="600" orientation="portrait" scale="86" r:id="rId2"/>
  <drawing r:id="rId1"/>
</worksheet>
</file>

<file path=xl/worksheets/sheet2.xml><?xml version="1.0" encoding="utf-8"?>
<worksheet xmlns="http://schemas.openxmlformats.org/spreadsheetml/2006/main" xmlns:r="http://schemas.openxmlformats.org/officeDocument/2006/relationships">
  <sheetPr>
    <tabColor indexed="44"/>
    <pageSetUpPr fitToPage="1"/>
  </sheetPr>
  <dimension ref="A1:N84"/>
  <sheetViews>
    <sheetView showGridLines="0" showRowColHeaders="0" view="pageBreakPreview" zoomScale="70" zoomScaleSheetLayoutView="70" zoomScalePageLayoutView="0" workbookViewId="0" topLeftCell="A1">
      <selection activeCell="K65" sqref="K61:K65"/>
    </sheetView>
  </sheetViews>
  <sheetFormatPr defaultColWidth="0" defaultRowHeight="12.75" zeroHeight="1"/>
  <cols>
    <col min="1" max="1" width="35.421875" style="2" bestFit="1" customWidth="1"/>
    <col min="2" max="2" width="6.8515625" style="214" customWidth="1"/>
    <col min="3" max="3" width="13.8515625" style="215" customWidth="1"/>
    <col min="4" max="5" width="7.57421875" style="199" customWidth="1"/>
    <col min="6" max="7" width="21.8515625" style="199" customWidth="1"/>
    <col min="8" max="8" width="6.421875" style="217" customWidth="1"/>
    <col min="9" max="10" width="6.8515625" style="199" customWidth="1"/>
    <col min="11" max="11" width="9.8515625" style="27" customWidth="1"/>
    <col min="12" max="12" width="9.00390625" style="27" customWidth="1"/>
    <col min="13" max="13" width="123.28125" style="2" customWidth="1"/>
    <col min="14" max="14" width="56.8515625" style="2" customWidth="1"/>
    <col min="15" max="16384" width="0" style="2" hidden="1" customWidth="1"/>
  </cols>
  <sheetData>
    <row r="1" spans="1:14" ht="32.25" customHeight="1" thickBot="1" thickTop="1">
      <c r="A1" s="418" t="s">
        <v>461</v>
      </c>
      <c r="B1" s="419"/>
      <c r="C1" s="419"/>
      <c r="D1" s="419"/>
      <c r="E1" s="419"/>
      <c r="F1" s="419"/>
      <c r="G1" s="419"/>
      <c r="H1" s="419"/>
      <c r="I1" s="419"/>
      <c r="J1" s="419"/>
      <c r="K1" s="419"/>
      <c r="L1" s="419"/>
      <c r="M1" s="420"/>
      <c r="N1" s="1"/>
    </row>
    <row r="2" spans="1:14" ht="99.75" customHeight="1" thickBot="1" thickTop="1">
      <c r="A2" s="19" t="s">
        <v>117</v>
      </c>
      <c r="B2" s="200" t="s">
        <v>118</v>
      </c>
      <c r="C2" s="201" t="s">
        <v>119</v>
      </c>
      <c r="D2" s="197" t="s">
        <v>300</v>
      </c>
      <c r="E2" s="197" t="s">
        <v>120</v>
      </c>
      <c r="F2" s="197" t="s">
        <v>302</v>
      </c>
      <c r="G2" s="197" t="s">
        <v>301</v>
      </c>
      <c r="H2" s="202" t="s">
        <v>121</v>
      </c>
      <c r="I2" s="197" t="s">
        <v>309</v>
      </c>
      <c r="J2" s="197" t="s">
        <v>293</v>
      </c>
      <c r="K2" s="30" t="s">
        <v>456</v>
      </c>
      <c r="L2" s="30" t="s">
        <v>5</v>
      </c>
      <c r="M2" s="3" t="s">
        <v>122</v>
      </c>
      <c r="N2" s="1"/>
    </row>
    <row r="3" spans="1:14" ht="9.75" customHeight="1" thickTop="1">
      <c r="A3" s="25"/>
      <c r="B3" s="203"/>
      <c r="C3" s="204"/>
      <c r="D3" s="198"/>
      <c r="E3" s="198"/>
      <c r="F3" s="198"/>
      <c r="G3" s="198"/>
      <c r="H3" s="205"/>
      <c r="I3" s="198"/>
      <c r="J3" s="196"/>
      <c r="K3" s="196"/>
      <c r="L3" s="196"/>
      <c r="M3" s="26"/>
      <c r="N3" s="1"/>
    </row>
    <row r="4" spans="1:14" ht="13.5" customHeight="1">
      <c r="A4" s="4" t="s">
        <v>32</v>
      </c>
      <c r="B4" s="206"/>
      <c r="C4" s="52"/>
      <c r="D4" s="53"/>
      <c r="E4" s="53"/>
      <c r="F4" s="53"/>
      <c r="G4" s="53"/>
      <c r="H4" s="54"/>
      <c r="I4" s="53"/>
      <c r="J4" s="188"/>
      <c r="K4" s="188"/>
      <c r="L4" s="188"/>
      <c r="M4" s="5"/>
      <c r="N4" s="1"/>
    </row>
    <row r="5" spans="1:14" ht="13.5" customHeight="1" thickBot="1">
      <c r="A5" s="23" t="s">
        <v>37</v>
      </c>
      <c r="B5" s="207" t="s">
        <v>123</v>
      </c>
      <c r="C5" s="50" t="s">
        <v>41</v>
      </c>
      <c r="D5" s="31">
        <v>7.28</v>
      </c>
      <c r="E5" s="31">
        <v>6.55</v>
      </c>
      <c r="F5" s="31" t="s">
        <v>38</v>
      </c>
      <c r="G5" s="31" t="s">
        <v>38</v>
      </c>
      <c r="H5" s="51">
        <v>0</v>
      </c>
      <c r="I5" s="31">
        <f>ROUND(D5*(1-H5),2)</f>
        <v>7.28</v>
      </c>
      <c r="J5" s="31">
        <f>ROUND(E5*(1-H5),2)</f>
        <v>6.55</v>
      </c>
      <c r="K5" s="189">
        <v>10.7</v>
      </c>
      <c r="L5" s="189" t="s">
        <v>2</v>
      </c>
      <c r="M5" s="6" t="s">
        <v>124</v>
      </c>
      <c r="N5" s="1"/>
    </row>
    <row r="6" spans="1:14" ht="12.75">
      <c r="A6" s="20" t="s">
        <v>39</v>
      </c>
      <c r="B6" s="206"/>
      <c r="C6" s="52"/>
      <c r="D6" s="53"/>
      <c r="E6" s="53"/>
      <c r="F6" s="53"/>
      <c r="G6" s="53"/>
      <c r="H6" s="54"/>
      <c r="I6" s="55"/>
      <c r="J6" s="55"/>
      <c r="K6" s="188"/>
      <c r="L6" s="188"/>
      <c r="M6" s="5"/>
      <c r="N6" s="1"/>
    </row>
    <row r="7" spans="1:14" ht="12.75">
      <c r="A7" s="21" t="s">
        <v>40</v>
      </c>
      <c r="B7" s="206" t="s">
        <v>125</v>
      </c>
      <c r="C7" s="52" t="s">
        <v>45</v>
      </c>
      <c r="D7" s="53">
        <v>0.92</v>
      </c>
      <c r="E7" s="53">
        <v>0.97</v>
      </c>
      <c r="F7" s="53" t="s">
        <v>303</v>
      </c>
      <c r="G7" s="53" t="s">
        <v>321</v>
      </c>
      <c r="H7" s="54">
        <v>0</v>
      </c>
      <c r="I7" s="56">
        <f aca="true" t="shared" si="0" ref="I7:I75">ROUND(D7*(1-H7),2)</f>
        <v>0.92</v>
      </c>
      <c r="J7" s="56">
        <f aca="true" t="shared" si="1" ref="J7:J75">ROUND(E7*(1-H7),2)</f>
        <v>0.97</v>
      </c>
      <c r="K7" s="188">
        <v>10.7</v>
      </c>
      <c r="L7" s="188" t="s">
        <v>2</v>
      </c>
      <c r="M7" s="5" t="s">
        <v>126</v>
      </c>
      <c r="N7" s="1"/>
    </row>
    <row r="8" spans="1:14" ht="12.75">
      <c r="A8" s="21" t="s">
        <v>42</v>
      </c>
      <c r="B8" s="208" t="s">
        <v>127</v>
      </c>
      <c r="C8" s="57" t="s">
        <v>45</v>
      </c>
      <c r="D8" s="56">
        <v>0.51</v>
      </c>
      <c r="E8" s="56">
        <v>0.68</v>
      </c>
      <c r="F8" s="56" t="s">
        <v>38</v>
      </c>
      <c r="G8" s="56" t="s">
        <v>38</v>
      </c>
      <c r="H8" s="58">
        <v>0</v>
      </c>
      <c r="I8" s="56">
        <f t="shared" si="0"/>
        <v>0.51</v>
      </c>
      <c r="J8" s="56">
        <f t="shared" si="1"/>
        <v>0.68</v>
      </c>
      <c r="K8" s="190">
        <v>10.7</v>
      </c>
      <c r="L8" s="190" t="s">
        <v>2</v>
      </c>
      <c r="M8" s="7" t="s">
        <v>128</v>
      </c>
      <c r="N8" s="1"/>
    </row>
    <row r="9" spans="1:14" ht="12.75">
      <c r="A9" s="21" t="s">
        <v>44</v>
      </c>
      <c r="B9" s="208" t="s">
        <v>129</v>
      </c>
      <c r="C9" s="57" t="s">
        <v>45</v>
      </c>
      <c r="D9" s="56">
        <v>0.82</v>
      </c>
      <c r="E9" s="56">
        <v>0.85</v>
      </c>
      <c r="F9" s="56" t="s">
        <v>462</v>
      </c>
      <c r="G9" s="56" t="s">
        <v>463</v>
      </c>
      <c r="H9" s="58">
        <v>0</v>
      </c>
      <c r="I9" s="56">
        <f t="shared" si="0"/>
        <v>0.82</v>
      </c>
      <c r="J9" s="56">
        <f t="shared" si="1"/>
        <v>0.85</v>
      </c>
      <c r="K9" s="190">
        <v>10.7</v>
      </c>
      <c r="L9" s="190" t="s">
        <v>2</v>
      </c>
      <c r="M9" s="7" t="s">
        <v>130</v>
      </c>
      <c r="N9" s="1"/>
    </row>
    <row r="10" spans="1:14" ht="12.75">
      <c r="A10" s="21" t="s">
        <v>46</v>
      </c>
      <c r="B10" s="208" t="s">
        <v>131</v>
      </c>
      <c r="C10" s="57" t="s">
        <v>45</v>
      </c>
      <c r="D10" s="56">
        <v>0.3</v>
      </c>
      <c r="E10" s="56">
        <v>0.32</v>
      </c>
      <c r="F10" s="56" t="s">
        <v>322</v>
      </c>
      <c r="G10" s="56" t="s">
        <v>323</v>
      </c>
      <c r="H10" s="58">
        <v>0</v>
      </c>
      <c r="I10" s="56">
        <f t="shared" si="0"/>
        <v>0.3</v>
      </c>
      <c r="J10" s="56">
        <f t="shared" si="1"/>
        <v>0.32</v>
      </c>
      <c r="K10" s="190">
        <v>5.41</v>
      </c>
      <c r="L10" s="190" t="s">
        <v>1</v>
      </c>
      <c r="M10" s="7" t="s">
        <v>132</v>
      </c>
      <c r="N10" s="1"/>
    </row>
    <row r="11" spans="1:14" ht="13.5" thickBot="1">
      <c r="A11" s="23" t="s">
        <v>47</v>
      </c>
      <c r="B11" s="207" t="s">
        <v>133</v>
      </c>
      <c r="C11" s="50" t="s">
        <v>45</v>
      </c>
      <c r="D11" s="31">
        <v>0.14</v>
      </c>
      <c r="E11" s="31">
        <v>0.26</v>
      </c>
      <c r="F11" s="31" t="s">
        <v>38</v>
      </c>
      <c r="G11" s="31" t="s">
        <v>38</v>
      </c>
      <c r="H11" s="59">
        <v>0</v>
      </c>
      <c r="I11" s="31">
        <f t="shared" si="0"/>
        <v>0.14</v>
      </c>
      <c r="J11" s="31">
        <f t="shared" si="1"/>
        <v>0.26</v>
      </c>
      <c r="K11" s="31">
        <v>5.41</v>
      </c>
      <c r="L11" s="189" t="s">
        <v>1</v>
      </c>
      <c r="M11" s="6" t="s">
        <v>134</v>
      </c>
      <c r="N11" s="1"/>
    </row>
    <row r="12" spans="1:14" ht="12.75">
      <c r="A12" s="20" t="s">
        <v>48</v>
      </c>
      <c r="B12" s="206"/>
      <c r="C12" s="52"/>
      <c r="D12" s="53"/>
      <c r="E12" s="53"/>
      <c r="F12" s="53"/>
      <c r="G12" s="53"/>
      <c r="H12" s="54"/>
      <c r="I12" s="55"/>
      <c r="J12" s="55"/>
      <c r="K12" s="188"/>
      <c r="L12" s="188"/>
      <c r="M12" s="5"/>
      <c r="N12" s="1"/>
    </row>
    <row r="13" spans="1:14" ht="12.75">
      <c r="A13" s="21" t="s">
        <v>50</v>
      </c>
      <c r="B13" s="206" t="s">
        <v>135</v>
      </c>
      <c r="C13" s="52" t="s">
        <v>53</v>
      </c>
      <c r="D13" s="53">
        <v>0.75</v>
      </c>
      <c r="E13" s="53">
        <v>1</v>
      </c>
      <c r="F13" s="53" t="s">
        <v>324</v>
      </c>
      <c r="G13" s="53" t="s">
        <v>325</v>
      </c>
      <c r="H13" s="54">
        <v>0</v>
      </c>
      <c r="I13" s="56">
        <f t="shared" si="0"/>
        <v>0.75</v>
      </c>
      <c r="J13" s="56">
        <f t="shared" si="1"/>
        <v>1</v>
      </c>
      <c r="K13" s="188">
        <v>10.75</v>
      </c>
      <c r="L13" s="188" t="s">
        <v>1</v>
      </c>
      <c r="M13" s="5" t="s">
        <v>136</v>
      </c>
      <c r="N13" s="1"/>
    </row>
    <row r="14" spans="1:14" ht="12.75">
      <c r="A14" s="21" t="s">
        <v>51</v>
      </c>
      <c r="B14" s="208" t="s">
        <v>137</v>
      </c>
      <c r="C14" s="57" t="s">
        <v>53</v>
      </c>
      <c r="D14" s="56">
        <v>0.51</v>
      </c>
      <c r="E14" s="56">
        <v>0.62</v>
      </c>
      <c r="F14" s="56" t="s">
        <v>304</v>
      </c>
      <c r="G14" s="56" t="s">
        <v>138</v>
      </c>
      <c r="H14" s="58">
        <v>0</v>
      </c>
      <c r="I14" s="56">
        <f t="shared" si="0"/>
        <v>0.51</v>
      </c>
      <c r="J14" s="56">
        <f t="shared" si="1"/>
        <v>0.62</v>
      </c>
      <c r="K14" s="190">
        <v>10.75</v>
      </c>
      <c r="L14" s="190" t="s">
        <v>1</v>
      </c>
      <c r="M14" s="7" t="s">
        <v>139</v>
      </c>
      <c r="N14" s="1"/>
    </row>
    <row r="15" spans="1:14" ht="12.75">
      <c r="A15" s="21" t="s">
        <v>52</v>
      </c>
      <c r="B15" s="208" t="s">
        <v>140</v>
      </c>
      <c r="C15" s="57" t="s">
        <v>53</v>
      </c>
      <c r="D15" s="56">
        <v>0.44</v>
      </c>
      <c r="E15" s="56">
        <v>0.52</v>
      </c>
      <c r="F15" s="56" t="s">
        <v>306</v>
      </c>
      <c r="G15" s="56" t="s">
        <v>141</v>
      </c>
      <c r="H15" s="58">
        <v>0</v>
      </c>
      <c r="I15" s="56">
        <f t="shared" si="0"/>
        <v>0.44</v>
      </c>
      <c r="J15" s="56">
        <f t="shared" si="1"/>
        <v>0.52</v>
      </c>
      <c r="K15" s="190">
        <v>10.75</v>
      </c>
      <c r="L15" s="190" t="s">
        <v>1</v>
      </c>
      <c r="M15" s="7" t="s">
        <v>142</v>
      </c>
      <c r="N15" s="1"/>
    </row>
    <row r="16" spans="1:14" ht="12.75">
      <c r="A16" s="21" t="s">
        <v>54</v>
      </c>
      <c r="B16" s="208" t="s">
        <v>143</v>
      </c>
      <c r="C16" s="57" t="s">
        <v>53</v>
      </c>
      <c r="D16" s="56">
        <v>0.44</v>
      </c>
      <c r="E16" s="56">
        <v>0.59</v>
      </c>
      <c r="F16" s="56" t="s">
        <v>305</v>
      </c>
      <c r="G16" s="56" t="s">
        <v>144</v>
      </c>
      <c r="H16" s="58">
        <v>0</v>
      </c>
      <c r="I16" s="56">
        <f t="shared" si="0"/>
        <v>0.44</v>
      </c>
      <c r="J16" s="56">
        <f t="shared" si="1"/>
        <v>0.59</v>
      </c>
      <c r="K16" s="190">
        <v>10.75</v>
      </c>
      <c r="L16" s="190" t="s">
        <v>1</v>
      </c>
      <c r="M16" s="7" t="s">
        <v>145</v>
      </c>
      <c r="N16" s="1"/>
    </row>
    <row r="17" spans="1:14" ht="12.75">
      <c r="A17" s="156" t="s">
        <v>428</v>
      </c>
      <c r="B17" s="209" t="s">
        <v>429</v>
      </c>
      <c r="C17" s="157" t="s">
        <v>53</v>
      </c>
      <c r="D17" s="158">
        <v>0.22</v>
      </c>
      <c r="E17" s="158">
        <v>0.27</v>
      </c>
      <c r="F17" s="158" t="s">
        <v>449</v>
      </c>
      <c r="G17" s="158" t="s">
        <v>450</v>
      </c>
      <c r="H17" s="159"/>
      <c r="I17" s="56">
        <f t="shared" si="0"/>
        <v>0.22</v>
      </c>
      <c r="J17" s="56">
        <f t="shared" si="1"/>
        <v>0.27</v>
      </c>
      <c r="K17" s="190">
        <v>10.75</v>
      </c>
      <c r="L17" s="191" t="s">
        <v>1</v>
      </c>
      <c r="M17" s="160"/>
      <c r="N17" s="1"/>
    </row>
    <row r="18" spans="1:14" ht="12.75">
      <c r="A18" s="156" t="s">
        <v>430</v>
      </c>
      <c r="B18" s="209" t="s">
        <v>431</v>
      </c>
      <c r="C18" s="157" t="s">
        <v>53</v>
      </c>
      <c r="D18" s="158">
        <v>0.2</v>
      </c>
      <c r="E18" s="158">
        <v>0.25</v>
      </c>
      <c r="F18" s="158" t="s">
        <v>464</v>
      </c>
      <c r="G18" s="158" t="s">
        <v>482</v>
      </c>
      <c r="H18" s="159"/>
      <c r="I18" s="56">
        <f t="shared" si="0"/>
        <v>0.2</v>
      </c>
      <c r="J18" s="56">
        <f t="shared" si="1"/>
        <v>0.25</v>
      </c>
      <c r="K18" s="190">
        <v>10.75</v>
      </c>
      <c r="L18" s="191" t="s">
        <v>1</v>
      </c>
      <c r="M18" s="160"/>
      <c r="N18" s="1"/>
    </row>
    <row r="19" spans="1:14" ht="13.5" thickBot="1">
      <c r="A19" s="23" t="s">
        <v>55</v>
      </c>
      <c r="B19" s="207" t="s">
        <v>146</v>
      </c>
      <c r="C19" s="50" t="s">
        <v>59</v>
      </c>
      <c r="D19" s="31">
        <v>0.14</v>
      </c>
      <c r="E19" s="31">
        <v>0.22</v>
      </c>
      <c r="F19" s="31" t="s">
        <v>38</v>
      </c>
      <c r="G19" s="31" t="s">
        <v>38</v>
      </c>
      <c r="H19" s="59">
        <v>0</v>
      </c>
      <c r="I19" s="31">
        <f t="shared" si="0"/>
        <v>0.14</v>
      </c>
      <c r="J19" s="31">
        <f t="shared" si="1"/>
        <v>0.22</v>
      </c>
      <c r="K19" s="189">
        <v>10.75</v>
      </c>
      <c r="L19" s="189" t="s">
        <v>1</v>
      </c>
      <c r="M19" s="6" t="s">
        <v>147</v>
      </c>
      <c r="N19" s="1"/>
    </row>
    <row r="20" spans="1:14" ht="12.75">
      <c r="A20" s="20" t="s">
        <v>57</v>
      </c>
      <c r="B20" s="206"/>
      <c r="C20" s="52"/>
      <c r="D20" s="53"/>
      <c r="E20" s="53"/>
      <c r="F20" s="53"/>
      <c r="G20" s="53"/>
      <c r="H20" s="54"/>
      <c r="I20" s="55"/>
      <c r="J20" s="55"/>
      <c r="K20" s="188"/>
      <c r="L20" s="188"/>
      <c r="M20" s="5"/>
      <c r="N20" s="1"/>
    </row>
    <row r="21" spans="1:14" ht="12.75">
      <c r="A21" s="21" t="s">
        <v>58</v>
      </c>
      <c r="B21" s="206" t="s">
        <v>148</v>
      </c>
      <c r="C21" s="52" t="s">
        <v>62</v>
      </c>
      <c r="D21" s="53">
        <v>0.53</v>
      </c>
      <c r="E21" s="53">
        <v>0.6</v>
      </c>
      <c r="F21" s="53" t="s">
        <v>38</v>
      </c>
      <c r="G21" s="53" t="s">
        <v>38</v>
      </c>
      <c r="H21" s="54">
        <v>0</v>
      </c>
      <c r="I21" s="56">
        <f t="shared" si="0"/>
        <v>0.53</v>
      </c>
      <c r="J21" s="56">
        <f t="shared" si="1"/>
        <v>0.6</v>
      </c>
      <c r="K21" s="190">
        <v>5.41</v>
      </c>
      <c r="L21" s="190" t="s">
        <v>1</v>
      </c>
      <c r="M21" s="5" t="s">
        <v>149</v>
      </c>
      <c r="N21" s="1"/>
    </row>
    <row r="22" spans="1:14" ht="13.5" thickBot="1">
      <c r="A22" s="23" t="s">
        <v>60</v>
      </c>
      <c r="B22" s="207" t="s">
        <v>150</v>
      </c>
      <c r="C22" s="50" t="s">
        <v>62</v>
      </c>
      <c r="D22" s="31">
        <v>0.45</v>
      </c>
      <c r="E22" s="31">
        <v>0.47</v>
      </c>
      <c r="F22" s="31" t="s">
        <v>326</v>
      </c>
      <c r="G22" s="31" t="s">
        <v>327</v>
      </c>
      <c r="H22" s="59">
        <v>0</v>
      </c>
      <c r="I22" s="31">
        <f t="shared" si="0"/>
        <v>0.45</v>
      </c>
      <c r="J22" s="31">
        <f t="shared" si="1"/>
        <v>0.47</v>
      </c>
      <c r="K22" s="189">
        <v>5.41</v>
      </c>
      <c r="L22" s="31" t="s">
        <v>1</v>
      </c>
      <c r="M22" s="6" t="s">
        <v>151</v>
      </c>
      <c r="N22" s="1"/>
    </row>
    <row r="23" spans="1:14" ht="12.75">
      <c r="A23" s="20" t="s">
        <v>61</v>
      </c>
      <c r="B23" s="206"/>
      <c r="C23" s="52"/>
      <c r="D23" s="53"/>
      <c r="E23" s="53"/>
      <c r="F23" s="53"/>
      <c r="G23" s="53"/>
      <c r="H23" s="54"/>
      <c r="I23" s="55"/>
      <c r="J23" s="55"/>
      <c r="K23" s="188"/>
      <c r="L23" s="188"/>
      <c r="M23" s="5"/>
      <c r="N23" s="1"/>
    </row>
    <row r="24" spans="1:14" ht="12.75">
      <c r="A24" s="21" t="s">
        <v>432</v>
      </c>
      <c r="B24" s="208" t="s">
        <v>152</v>
      </c>
      <c r="C24" s="57" t="s">
        <v>64</v>
      </c>
      <c r="D24" s="56">
        <v>0.4</v>
      </c>
      <c r="E24" s="56">
        <v>1.25</v>
      </c>
      <c r="F24" s="56" t="s">
        <v>38</v>
      </c>
      <c r="G24" s="56" t="s">
        <v>38</v>
      </c>
      <c r="H24" s="58">
        <v>0</v>
      </c>
      <c r="I24" s="56">
        <f t="shared" si="0"/>
        <v>0.4</v>
      </c>
      <c r="J24" s="56">
        <f t="shared" si="1"/>
        <v>1.25</v>
      </c>
      <c r="K24" s="190">
        <v>10.7</v>
      </c>
      <c r="L24" s="190" t="s">
        <v>2</v>
      </c>
      <c r="M24" s="7" t="s">
        <v>153</v>
      </c>
      <c r="N24" s="1"/>
    </row>
    <row r="25" spans="1:14" ht="12.75">
      <c r="A25" s="21" t="s">
        <v>63</v>
      </c>
      <c r="B25" s="208" t="s">
        <v>154</v>
      </c>
      <c r="C25" s="57" t="s">
        <v>41</v>
      </c>
      <c r="D25" s="56">
        <v>0.21</v>
      </c>
      <c r="E25" s="56">
        <v>0.3</v>
      </c>
      <c r="F25" s="56" t="s">
        <v>307</v>
      </c>
      <c r="G25" s="56" t="s">
        <v>155</v>
      </c>
      <c r="H25" s="58">
        <v>0</v>
      </c>
      <c r="I25" s="56">
        <f t="shared" si="0"/>
        <v>0.21</v>
      </c>
      <c r="J25" s="56">
        <f t="shared" si="1"/>
        <v>0.3</v>
      </c>
      <c r="K25" s="190">
        <v>10.7</v>
      </c>
      <c r="L25" s="190" t="s">
        <v>2</v>
      </c>
      <c r="M25" s="7" t="s">
        <v>156</v>
      </c>
      <c r="N25" s="1"/>
    </row>
    <row r="26" spans="1:14" ht="12.75">
      <c r="A26" s="21" t="s">
        <v>433</v>
      </c>
      <c r="B26" s="208" t="s">
        <v>157</v>
      </c>
      <c r="C26" s="57" t="s">
        <v>45</v>
      </c>
      <c r="D26" s="56">
        <v>2.05</v>
      </c>
      <c r="E26" s="56">
        <v>2.74</v>
      </c>
      <c r="F26" s="56" t="s">
        <v>38</v>
      </c>
      <c r="G26" s="53" t="s">
        <v>38</v>
      </c>
      <c r="H26" s="58">
        <v>0</v>
      </c>
      <c r="I26" s="56">
        <f t="shared" si="0"/>
        <v>2.05</v>
      </c>
      <c r="J26" s="56">
        <f t="shared" si="1"/>
        <v>2.74</v>
      </c>
      <c r="K26" s="190">
        <v>10.7</v>
      </c>
      <c r="L26" s="190" t="s">
        <v>2</v>
      </c>
      <c r="M26" s="7" t="s">
        <v>158</v>
      </c>
      <c r="N26" s="1"/>
    </row>
    <row r="27" spans="1:14" ht="12.75">
      <c r="A27" s="21" t="s">
        <v>434</v>
      </c>
      <c r="B27" s="208" t="s">
        <v>159</v>
      </c>
      <c r="C27" s="57" t="s">
        <v>45</v>
      </c>
      <c r="D27" s="56">
        <v>0</v>
      </c>
      <c r="E27" s="56">
        <v>2.36</v>
      </c>
      <c r="F27" s="56" t="s">
        <v>38</v>
      </c>
      <c r="G27" s="56" t="s">
        <v>38</v>
      </c>
      <c r="H27" s="58">
        <v>0</v>
      </c>
      <c r="I27" s="56">
        <f t="shared" si="0"/>
        <v>0</v>
      </c>
      <c r="J27" s="56">
        <f t="shared" si="1"/>
        <v>2.36</v>
      </c>
      <c r="K27" s="190">
        <v>10.7</v>
      </c>
      <c r="L27" s="190" t="s">
        <v>2</v>
      </c>
      <c r="M27" s="7" t="s">
        <v>160</v>
      </c>
      <c r="N27" s="1"/>
    </row>
    <row r="28" spans="1:14" ht="12.75">
      <c r="A28" s="21" t="s">
        <v>435</v>
      </c>
      <c r="B28" s="208" t="s">
        <v>161</v>
      </c>
      <c r="C28" s="57" t="s">
        <v>67</v>
      </c>
      <c r="D28" s="56">
        <v>0</v>
      </c>
      <c r="E28" s="56">
        <v>0.33</v>
      </c>
      <c r="F28" s="56" t="s">
        <v>38</v>
      </c>
      <c r="G28" s="56" t="s">
        <v>38</v>
      </c>
      <c r="H28" s="58">
        <v>0</v>
      </c>
      <c r="I28" s="56">
        <f t="shared" si="0"/>
        <v>0</v>
      </c>
      <c r="J28" s="56">
        <f t="shared" si="1"/>
        <v>0.33</v>
      </c>
      <c r="K28" s="190">
        <v>10.7</v>
      </c>
      <c r="L28" s="190" t="s">
        <v>2</v>
      </c>
      <c r="M28" s="7" t="s">
        <v>162</v>
      </c>
      <c r="N28" s="1"/>
    </row>
    <row r="29" spans="1:14" ht="12.75">
      <c r="A29" s="21" t="s">
        <v>65</v>
      </c>
      <c r="B29" s="208" t="s">
        <v>163</v>
      </c>
      <c r="C29" s="57" t="s">
        <v>69</v>
      </c>
      <c r="D29" s="56">
        <v>0</v>
      </c>
      <c r="E29" s="56">
        <v>13.64</v>
      </c>
      <c r="F29" s="56" t="s">
        <v>38</v>
      </c>
      <c r="G29" s="56" t="s">
        <v>38</v>
      </c>
      <c r="H29" s="58">
        <v>0</v>
      </c>
      <c r="I29" s="56">
        <f t="shared" si="0"/>
        <v>0</v>
      </c>
      <c r="J29" s="56">
        <f t="shared" si="1"/>
        <v>13.64</v>
      </c>
      <c r="K29" s="190">
        <v>10.7</v>
      </c>
      <c r="L29" s="190" t="s">
        <v>2</v>
      </c>
      <c r="M29" s="7" t="s">
        <v>164</v>
      </c>
      <c r="N29" s="1"/>
    </row>
    <row r="30" spans="1:14" ht="13.5" thickBot="1">
      <c r="A30" s="23" t="s">
        <v>66</v>
      </c>
      <c r="B30" s="207" t="s">
        <v>165</v>
      </c>
      <c r="C30" s="50" t="s">
        <v>71</v>
      </c>
      <c r="D30" s="31">
        <v>1.31</v>
      </c>
      <c r="E30" s="31">
        <v>3.35</v>
      </c>
      <c r="F30" s="31" t="s">
        <v>314</v>
      </c>
      <c r="G30" s="31" t="s">
        <v>38</v>
      </c>
      <c r="H30" s="59">
        <v>0</v>
      </c>
      <c r="I30" s="31">
        <f t="shared" si="0"/>
        <v>1.31</v>
      </c>
      <c r="J30" s="31">
        <f t="shared" si="1"/>
        <v>3.35</v>
      </c>
      <c r="K30" s="189">
        <v>10.7</v>
      </c>
      <c r="L30" s="31" t="s">
        <v>2</v>
      </c>
      <c r="M30" s="6" t="s">
        <v>166</v>
      </c>
      <c r="N30" s="1"/>
    </row>
    <row r="31" spans="1:14" ht="12.75">
      <c r="A31" s="20" t="s">
        <v>68</v>
      </c>
      <c r="B31" s="206"/>
      <c r="C31" s="52"/>
      <c r="D31" s="53"/>
      <c r="E31" s="53"/>
      <c r="F31" s="53"/>
      <c r="G31" s="53"/>
      <c r="H31" s="54"/>
      <c r="I31" s="55"/>
      <c r="J31" s="55"/>
      <c r="K31" s="188"/>
      <c r="L31" s="188"/>
      <c r="M31" s="5"/>
      <c r="N31" s="1"/>
    </row>
    <row r="32" spans="1:14" ht="12.75">
      <c r="A32" s="21" t="s">
        <v>70</v>
      </c>
      <c r="B32" s="208" t="s">
        <v>167</v>
      </c>
      <c r="C32" s="57" t="s">
        <v>45</v>
      </c>
      <c r="D32" s="56">
        <v>0.56</v>
      </c>
      <c r="E32" s="56">
        <v>0.55</v>
      </c>
      <c r="F32" s="56" t="s">
        <v>38</v>
      </c>
      <c r="G32" s="56" t="s">
        <v>328</v>
      </c>
      <c r="H32" s="58">
        <v>0</v>
      </c>
      <c r="I32" s="56">
        <f t="shared" si="0"/>
        <v>0.56</v>
      </c>
      <c r="J32" s="56">
        <f t="shared" si="1"/>
        <v>0.55</v>
      </c>
      <c r="K32" s="190">
        <v>6.3</v>
      </c>
      <c r="L32" s="190" t="s">
        <v>2</v>
      </c>
      <c r="M32" s="7" t="s">
        <v>168</v>
      </c>
      <c r="N32" s="1"/>
    </row>
    <row r="33" spans="1:14" ht="12.75">
      <c r="A33" s="21" t="s">
        <v>72</v>
      </c>
      <c r="B33" s="208" t="s">
        <v>169</v>
      </c>
      <c r="C33" s="57" t="s">
        <v>45</v>
      </c>
      <c r="D33" s="56">
        <v>12.18</v>
      </c>
      <c r="E33" s="56">
        <v>12.34</v>
      </c>
      <c r="F33" s="56" t="s">
        <v>38</v>
      </c>
      <c r="G33" s="56" t="s">
        <v>38</v>
      </c>
      <c r="H33" s="58">
        <v>0.44</v>
      </c>
      <c r="I33" s="56">
        <f t="shared" si="0"/>
        <v>6.82</v>
      </c>
      <c r="J33" s="56">
        <f t="shared" si="1"/>
        <v>6.91</v>
      </c>
      <c r="K33" s="190">
        <v>3.39</v>
      </c>
      <c r="L33" s="190" t="s">
        <v>3</v>
      </c>
      <c r="M33" s="7" t="s">
        <v>170</v>
      </c>
      <c r="N33" s="1"/>
    </row>
    <row r="34" spans="1:14" ht="12.75">
      <c r="A34" s="21" t="s">
        <v>73</v>
      </c>
      <c r="B34" s="208" t="s">
        <v>171</v>
      </c>
      <c r="C34" s="57" t="s">
        <v>76</v>
      </c>
      <c r="D34" s="56">
        <v>0.54</v>
      </c>
      <c r="E34" s="56">
        <v>0.16</v>
      </c>
      <c r="F34" s="56" t="s">
        <v>329</v>
      </c>
      <c r="G34" s="56" t="s">
        <v>38</v>
      </c>
      <c r="H34" s="58">
        <v>0</v>
      </c>
      <c r="I34" s="56">
        <f t="shared" si="0"/>
        <v>0.54</v>
      </c>
      <c r="J34" s="56">
        <f t="shared" si="1"/>
        <v>0.16</v>
      </c>
      <c r="K34" s="190">
        <v>6.3</v>
      </c>
      <c r="L34" s="190" t="s">
        <v>2</v>
      </c>
      <c r="M34" s="7"/>
      <c r="N34" s="1"/>
    </row>
    <row r="35" spans="1:14" ht="12.75">
      <c r="A35" s="21" t="s">
        <v>74</v>
      </c>
      <c r="B35" s="208" t="s">
        <v>172</v>
      </c>
      <c r="C35" s="57" t="s">
        <v>76</v>
      </c>
      <c r="D35" s="56">
        <v>0.43</v>
      </c>
      <c r="E35" s="56">
        <v>0.13</v>
      </c>
      <c r="F35" s="56" t="s">
        <v>38</v>
      </c>
      <c r="G35" s="56" t="s">
        <v>38</v>
      </c>
      <c r="H35" s="58">
        <v>0</v>
      </c>
      <c r="I35" s="56">
        <f t="shared" si="0"/>
        <v>0.43</v>
      </c>
      <c r="J35" s="56">
        <f t="shared" si="1"/>
        <v>0.13</v>
      </c>
      <c r="K35" s="190">
        <v>6.3</v>
      </c>
      <c r="L35" s="190" t="s">
        <v>2</v>
      </c>
      <c r="M35" s="7"/>
      <c r="N35" s="1"/>
    </row>
    <row r="36" spans="1:14" ht="12.75">
      <c r="A36" s="21" t="s">
        <v>75</v>
      </c>
      <c r="B36" s="208" t="s">
        <v>173</v>
      </c>
      <c r="C36" s="57" t="s">
        <v>76</v>
      </c>
      <c r="D36" s="56">
        <v>0.12</v>
      </c>
      <c r="E36" s="56">
        <v>0.12</v>
      </c>
      <c r="F36" s="56" t="s">
        <v>465</v>
      </c>
      <c r="G36" s="56" t="s">
        <v>466</v>
      </c>
      <c r="H36" s="58">
        <v>0</v>
      </c>
      <c r="I36" s="56">
        <f t="shared" si="0"/>
        <v>0.12</v>
      </c>
      <c r="J36" s="56">
        <f t="shared" si="1"/>
        <v>0.12</v>
      </c>
      <c r="K36" s="190">
        <v>6.3</v>
      </c>
      <c r="L36" s="190" t="s">
        <v>2</v>
      </c>
      <c r="M36" s="7"/>
      <c r="N36" s="1"/>
    </row>
    <row r="37" spans="1:14" ht="13.5" thickBot="1">
      <c r="A37" s="23" t="s">
        <v>77</v>
      </c>
      <c r="B37" s="207" t="s">
        <v>174</v>
      </c>
      <c r="C37" s="50" t="s">
        <v>76</v>
      </c>
      <c r="D37" s="31">
        <v>0.17</v>
      </c>
      <c r="E37" s="31">
        <v>0.17</v>
      </c>
      <c r="F37" s="31" t="s">
        <v>467</v>
      </c>
      <c r="G37" s="31" t="s">
        <v>468</v>
      </c>
      <c r="H37" s="59">
        <v>0</v>
      </c>
      <c r="I37" s="31">
        <f t="shared" si="0"/>
        <v>0.17</v>
      </c>
      <c r="J37" s="31">
        <f t="shared" si="1"/>
        <v>0.17</v>
      </c>
      <c r="K37" s="189">
        <v>6.3</v>
      </c>
      <c r="L37" s="189" t="s">
        <v>2</v>
      </c>
      <c r="M37" s="6"/>
      <c r="N37" s="1"/>
    </row>
    <row r="38" spans="1:14" ht="12.75">
      <c r="A38" s="20" t="s">
        <v>78</v>
      </c>
      <c r="B38" s="206"/>
      <c r="C38" s="52"/>
      <c r="D38" s="53"/>
      <c r="E38" s="53"/>
      <c r="F38" s="53"/>
      <c r="G38" s="53"/>
      <c r="H38" s="54"/>
      <c r="I38" s="55"/>
      <c r="J38" s="55"/>
      <c r="K38" s="188"/>
      <c r="L38" s="188"/>
      <c r="M38" s="5"/>
      <c r="N38" s="1"/>
    </row>
    <row r="39" spans="1:14" ht="12.75">
      <c r="A39" s="21" t="s">
        <v>79</v>
      </c>
      <c r="B39" s="208" t="s">
        <v>175</v>
      </c>
      <c r="C39" s="57" t="s">
        <v>45</v>
      </c>
      <c r="D39" s="56">
        <v>0</v>
      </c>
      <c r="E39" s="56">
        <v>5.18</v>
      </c>
      <c r="F39" s="56" t="s">
        <v>38</v>
      </c>
      <c r="G39" s="56" t="s">
        <v>38</v>
      </c>
      <c r="H39" s="58">
        <v>0</v>
      </c>
      <c r="I39" s="56">
        <f t="shared" si="0"/>
        <v>0</v>
      </c>
      <c r="J39" s="56">
        <f t="shared" si="1"/>
        <v>5.18</v>
      </c>
      <c r="K39" s="190">
        <v>6.3</v>
      </c>
      <c r="L39" s="190" t="s">
        <v>2</v>
      </c>
      <c r="M39" s="7" t="s">
        <v>176</v>
      </c>
      <c r="N39" s="1"/>
    </row>
    <row r="40" spans="1:14" ht="12.75">
      <c r="A40" s="21" t="s">
        <v>80</v>
      </c>
      <c r="B40" s="208" t="s">
        <v>177</v>
      </c>
      <c r="C40" s="57" t="s">
        <v>59</v>
      </c>
      <c r="D40" s="56">
        <v>1.32</v>
      </c>
      <c r="E40" s="56">
        <v>1.42</v>
      </c>
      <c r="F40" s="56" t="s">
        <v>38</v>
      </c>
      <c r="G40" s="56" t="s">
        <v>38</v>
      </c>
      <c r="H40" s="58">
        <v>0</v>
      </c>
      <c r="I40" s="56">
        <f t="shared" si="0"/>
        <v>1.32</v>
      </c>
      <c r="J40" s="56">
        <f t="shared" si="1"/>
        <v>1.42</v>
      </c>
      <c r="K40" s="190">
        <v>6.3</v>
      </c>
      <c r="L40" s="190" t="s">
        <v>2</v>
      </c>
      <c r="M40" s="7" t="s">
        <v>178</v>
      </c>
      <c r="N40" s="1"/>
    </row>
    <row r="41" spans="1:14" ht="12.75">
      <c r="A41" s="21" t="s">
        <v>81</v>
      </c>
      <c r="B41" s="208" t="s">
        <v>179</v>
      </c>
      <c r="C41" s="57" t="s">
        <v>59</v>
      </c>
      <c r="D41" s="56">
        <v>0.17</v>
      </c>
      <c r="E41" s="56">
        <v>0.22</v>
      </c>
      <c r="F41" s="56" t="s">
        <v>38</v>
      </c>
      <c r="G41" s="56" t="s">
        <v>38</v>
      </c>
      <c r="H41" s="58">
        <v>0</v>
      </c>
      <c r="I41" s="56">
        <f t="shared" si="0"/>
        <v>0.17</v>
      </c>
      <c r="J41" s="56">
        <f t="shared" si="1"/>
        <v>0.22</v>
      </c>
      <c r="K41" s="190">
        <v>6.3</v>
      </c>
      <c r="L41" s="190" t="s">
        <v>2</v>
      </c>
      <c r="M41" s="7" t="s">
        <v>180</v>
      </c>
      <c r="N41" s="1"/>
    </row>
    <row r="42" spans="1:14" ht="13.5" thickBot="1">
      <c r="A42" s="166" t="s">
        <v>436</v>
      </c>
      <c r="B42" s="210" t="s">
        <v>437</v>
      </c>
      <c r="C42" s="167" t="s">
        <v>45</v>
      </c>
      <c r="D42" s="168">
        <v>4.08</v>
      </c>
      <c r="E42" s="168">
        <v>4.72</v>
      </c>
      <c r="F42" s="168" t="s">
        <v>38</v>
      </c>
      <c r="G42" s="168" t="s">
        <v>38</v>
      </c>
      <c r="H42" s="169">
        <v>0.3</v>
      </c>
      <c r="I42" s="168">
        <f t="shared" si="0"/>
        <v>2.86</v>
      </c>
      <c r="J42" s="168">
        <f t="shared" si="1"/>
        <v>3.3</v>
      </c>
      <c r="K42" s="31">
        <v>6.3</v>
      </c>
      <c r="L42" s="192" t="s">
        <v>2</v>
      </c>
      <c r="M42" s="170"/>
      <c r="N42" s="1"/>
    </row>
    <row r="43" spans="1:14" ht="12.75">
      <c r="A43" s="20" t="s">
        <v>82</v>
      </c>
      <c r="B43" s="206"/>
      <c r="C43" s="52"/>
      <c r="D43" s="53"/>
      <c r="E43" s="53"/>
      <c r="F43" s="53"/>
      <c r="G43" s="53"/>
      <c r="H43" s="54"/>
      <c r="I43" s="53"/>
      <c r="J43" s="53"/>
      <c r="K43" s="188"/>
      <c r="L43" s="188"/>
      <c r="M43" s="5"/>
      <c r="N43" s="1"/>
    </row>
    <row r="44" spans="1:14" ht="12.75">
      <c r="A44" s="21" t="s">
        <v>83</v>
      </c>
      <c r="B44" s="208" t="s">
        <v>181</v>
      </c>
      <c r="C44" s="57" t="s">
        <v>45</v>
      </c>
      <c r="D44" s="56">
        <v>1.52</v>
      </c>
      <c r="E44" s="56">
        <v>1.41</v>
      </c>
      <c r="F44" s="56" t="s">
        <v>469</v>
      </c>
      <c r="G44" s="56" t="s">
        <v>470</v>
      </c>
      <c r="H44" s="58">
        <v>0</v>
      </c>
      <c r="I44" s="56">
        <f t="shared" si="0"/>
        <v>1.52</v>
      </c>
      <c r="J44" s="56">
        <f t="shared" si="1"/>
        <v>1.41</v>
      </c>
      <c r="K44" s="190">
        <v>10.75</v>
      </c>
      <c r="L44" s="190" t="s">
        <v>1</v>
      </c>
      <c r="M44" s="7" t="s">
        <v>182</v>
      </c>
      <c r="N44" s="1"/>
    </row>
    <row r="45" spans="1:14" ht="12.75">
      <c r="A45" s="21" t="s">
        <v>84</v>
      </c>
      <c r="B45" s="208" t="s">
        <v>183</v>
      </c>
      <c r="C45" s="57" t="s">
        <v>45</v>
      </c>
      <c r="D45" s="56">
        <v>1.56</v>
      </c>
      <c r="E45" s="56">
        <v>1.49</v>
      </c>
      <c r="F45" s="56" t="s">
        <v>471</v>
      </c>
      <c r="G45" s="56" t="s">
        <v>472</v>
      </c>
      <c r="H45" s="58">
        <v>0</v>
      </c>
      <c r="I45" s="56">
        <f t="shared" si="0"/>
        <v>1.56</v>
      </c>
      <c r="J45" s="56">
        <f t="shared" si="1"/>
        <v>1.49</v>
      </c>
      <c r="K45" s="190">
        <v>10.75</v>
      </c>
      <c r="L45" s="190" t="s">
        <v>1</v>
      </c>
      <c r="M45" s="7" t="s">
        <v>184</v>
      </c>
      <c r="N45" s="1"/>
    </row>
    <row r="46" spans="1:14" ht="12.75">
      <c r="A46" s="21" t="s">
        <v>85</v>
      </c>
      <c r="B46" s="208" t="s">
        <v>185</v>
      </c>
      <c r="C46" s="57" t="s">
        <v>45</v>
      </c>
      <c r="D46" s="56">
        <v>2.39</v>
      </c>
      <c r="E46" s="56">
        <v>3.57</v>
      </c>
      <c r="F46" s="56" t="s">
        <v>38</v>
      </c>
      <c r="G46" s="56" t="s">
        <v>473</v>
      </c>
      <c r="H46" s="58">
        <v>0</v>
      </c>
      <c r="I46" s="56">
        <f t="shared" si="0"/>
        <v>2.39</v>
      </c>
      <c r="J46" s="56">
        <f t="shared" si="1"/>
        <v>3.57</v>
      </c>
      <c r="K46" s="190">
        <v>10.75</v>
      </c>
      <c r="L46" s="190" t="s">
        <v>1</v>
      </c>
      <c r="M46" s="7" t="s">
        <v>186</v>
      </c>
      <c r="N46" s="1"/>
    </row>
    <row r="47" spans="1:14" ht="12.75">
      <c r="A47" s="21" t="s">
        <v>86</v>
      </c>
      <c r="B47" s="208" t="s">
        <v>187</v>
      </c>
      <c r="C47" s="57" t="s">
        <v>45</v>
      </c>
      <c r="D47" s="56">
        <v>1.8</v>
      </c>
      <c r="E47" s="56">
        <v>1.74</v>
      </c>
      <c r="F47" s="56" t="s">
        <v>474</v>
      </c>
      <c r="G47" s="56" t="s">
        <v>475</v>
      </c>
      <c r="H47" s="58">
        <v>0</v>
      </c>
      <c r="I47" s="56">
        <f t="shared" si="0"/>
        <v>1.8</v>
      </c>
      <c r="J47" s="56">
        <f t="shared" si="1"/>
        <v>1.74</v>
      </c>
      <c r="K47" s="190">
        <v>10.75</v>
      </c>
      <c r="L47" s="190" t="s">
        <v>1</v>
      </c>
      <c r="M47" s="7" t="s">
        <v>188</v>
      </c>
      <c r="N47" s="1"/>
    </row>
    <row r="48" spans="1:14" ht="13.5" thickBot="1">
      <c r="A48" s="23" t="s">
        <v>87</v>
      </c>
      <c r="B48" s="207" t="s">
        <v>189</v>
      </c>
      <c r="C48" s="50" t="s">
        <v>45</v>
      </c>
      <c r="D48" s="31">
        <v>1.71</v>
      </c>
      <c r="E48" s="31">
        <v>1.48</v>
      </c>
      <c r="F48" s="31" t="s">
        <v>330</v>
      </c>
      <c r="G48" s="31" t="s">
        <v>331</v>
      </c>
      <c r="H48" s="59">
        <v>0</v>
      </c>
      <c r="I48" s="31">
        <f t="shared" si="0"/>
        <v>1.71</v>
      </c>
      <c r="J48" s="31">
        <f t="shared" si="1"/>
        <v>1.48</v>
      </c>
      <c r="K48" s="189">
        <v>10.75</v>
      </c>
      <c r="L48" s="189" t="s">
        <v>1</v>
      </c>
      <c r="M48" s="6" t="s">
        <v>190</v>
      </c>
      <c r="N48" s="1"/>
    </row>
    <row r="49" spans="1:14" ht="12.75">
      <c r="A49" s="20" t="s">
        <v>88</v>
      </c>
      <c r="B49" s="206"/>
      <c r="C49" s="52"/>
      <c r="D49" s="53"/>
      <c r="E49" s="53"/>
      <c r="F49" s="53"/>
      <c r="G49" s="53"/>
      <c r="H49" s="54"/>
      <c r="I49" s="55"/>
      <c r="J49" s="55"/>
      <c r="K49" s="188"/>
      <c r="L49" s="188"/>
      <c r="M49" s="5"/>
      <c r="N49" s="1"/>
    </row>
    <row r="50" spans="1:14" ht="12.75">
      <c r="A50" s="24" t="s">
        <v>272</v>
      </c>
      <c r="B50" s="208"/>
      <c r="C50" s="57"/>
      <c r="D50" s="56"/>
      <c r="E50" s="56"/>
      <c r="F50" s="56"/>
      <c r="G50" s="56"/>
      <c r="H50" s="58"/>
      <c r="I50" s="56"/>
      <c r="J50" s="56"/>
      <c r="K50" s="190"/>
      <c r="L50" s="190"/>
      <c r="M50" s="7"/>
      <c r="N50" s="1"/>
    </row>
    <row r="51" spans="1:14" ht="12.75">
      <c r="A51" s="21" t="s">
        <v>89</v>
      </c>
      <c r="B51" s="208" t="s">
        <v>191</v>
      </c>
      <c r="C51" s="57" t="s">
        <v>45</v>
      </c>
      <c r="D51" s="56">
        <v>2.25</v>
      </c>
      <c r="E51" s="56">
        <v>3.11</v>
      </c>
      <c r="F51" s="56" t="s">
        <v>38</v>
      </c>
      <c r="G51" s="56" t="s">
        <v>476</v>
      </c>
      <c r="H51" s="58">
        <v>0.4</v>
      </c>
      <c r="I51" s="56">
        <f t="shared" si="0"/>
        <v>1.35</v>
      </c>
      <c r="J51" s="56">
        <f t="shared" si="1"/>
        <v>1.87</v>
      </c>
      <c r="K51" s="190">
        <v>5.41</v>
      </c>
      <c r="L51" s="190" t="s">
        <v>1</v>
      </c>
      <c r="M51" s="7" t="s">
        <v>192</v>
      </c>
      <c r="N51" s="1"/>
    </row>
    <row r="52" spans="1:14" ht="12.75">
      <c r="A52" s="21" t="s">
        <v>90</v>
      </c>
      <c r="B52" s="208" t="s">
        <v>193</v>
      </c>
      <c r="C52" s="57" t="s">
        <v>45</v>
      </c>
      <c r="D52" s="56">
        <v>2.21</v>
      </c>
      <c r="E52" s="56">
        <v>5.98</v>
      </c>
      <c r="F52" s="56" t="s">
        <v>308</v>
      </c>
      <c r="G52" s="56" t="s">
        <v>194</v>
      </c>
      <c r="H52" s="58">
        <v>0.43</v>
      </c>
      <c r="I52" s="56">
        <f t="shared" si="0"/>
        <v>1.26</v>
      </c>
      <c r="J52" s="56">
        <f t="shared" si="1"/>
        <v>3.41</v>
      </c>
      <c r="K52" s="190">
        <v>5.41</v>
      </c>
      <c r="L52" s="190" t="s">
        <v>1</v>
      </c>
      <c r="M52" s="7" t="s">
        <v>195</v>
      </c>
      <c r="N52" s="1"/>
    </row>
    <row r="53" spans="1:14" ht="12.75">
      <c r="A53" s="21" t="s">
        <v>91</v>
      </c>
      <c r="B53" s="208" t="s">
        <v>196</v>
      </c>
      <c r="C53" s="57" t="s">
        <v>93</v>
      </c>
      <c r="D53" s="56">
        <v>12.16</v>
      </c>
      <c r="E53" s="56">
        <v>13.87</v>
      </c>
      <c r="F53" s="56" t="s">
        <v>332</v>
      </c>
      <c r="G53" s="56" t="s">
        <v>38</v>
      </c>
      <c r="H53" s="58">
        <v>0.42</v>
      </c>
      <c r="I53" s="56">
        <f t="shared" si="0"/>
        <v>7.05</v>
      </c>
      <c r="J53" s="56">
        <f t="shared" si="1"/>
        <v>8.04</v>
      </c>
      <c r="K53" s="190">
        <v>1.2</v>
      </c>
      <c r="L53" s="190" t="s">
        <v>3</v>
      </c>
      <c r="M53" s="7" t="s">
        <v>197</v>
      </c>
      <c r="N53" s="1"/>
    </row>
    <row r="54" spans="1:14" ht="12.75">
      <c r="A54" s="21" t="s">
        <v>92</v>
      </c>
      <c r="B54" s="208" t="s">
        <v>198</v>
      </c>
      <c r="C54" s="57" t="s">
        <v>93</v>
      </c>
      <c r="D54" s="56">
        <v>10.16</v>
      </c>
      <c r="E54" s="56">
        <v>13.51</v>
      </c>
      <c r="F54" s="56" t="s">
        <v>38</v>
      </c>
      <c r="G54" s="56" t="s">
        <v>38</v>
      </c>
      <c r="H54" s="58">
        <v>0.56</v>
      </c>
      <c r="I54" s="56">
        <f t="shared" si="0"/>
        <v>4.47</v>
      </c>
      <c r="J54" s="56">
        <f t="shared" si="1"/>
        <v>5.94</v>
      </c>
      <c r="K54" s="190">
        <v>1.2</v>
      </c>
      <c r="L54" s="190" t="s">
        <v>3</v>
      </c>
      <c r="M54" s="7" t="s">
        <v>199</v>
      </c>
      <c r="N54" s="1"/>
    </row>
    <row r="55" spans="1:14" ht="12.75">
      <c r="A55" s="21" t="s">
        <v>200</v>
      </c>
      <c r="B55" s="208" t="s">
        <v>201</v>
      </c>
      <c r="C55" s="57" t="s">
        <v>93</v>
      </c>
      <c r="D55" s="56">
        <v>11.84</v>
      </c>
      <c r="E55" s="56">
        <v>13.86</v>
      </c>
      <c r="F55" s="56" t="s">
        <v>38</v>
      </c>
      <c r="G55" s="56" t="s">
        <v>38</v>
      </c>
      <c r="H55" s="58">
        <v>0.56</v>
      </c>
      <c r="I55" s="56">
        <f t="shared" si="0"/>
        <v>5.21</v>
      </c>
      <c r="J55" s="56">
        <f t="shared" si="1"/>
        <v>6.1</v>
      </c>
      <c r="K55" s="190">
        <v>1.2</v>
      </c>
      <c r="L55" s="190" t="s">
        <v>3</v>
      </c>
      <c r="M55" s="7" t="s">
        <v>202</v>
      </c>
      <c r="N55" s="1"/>
    </row>
    <row r="56" spans="1:14" ht="12.75">
      <c r="A56" s="21" t="s">
        <v>94</v>
      </c>
      <c r="B56" s="208" t="s">
        <v>203</v>
      </c>
      <c r="C56" s="57" t="s">
        <v>45</v>
      </c>
      <c r="D56" s="56">
        <v>1.92</v>
      </c>
      <c r="E56" s="56">
        <v>2.62</v>
      </c>
      <c r="F56" s="56" t="s">
        <v>38</v>
      </c>
      <c r="G56" s="56" t="s">
        <v>477</v>
      </c>
      <c r="H56" s="58">
        <v>0.2</v>
      </c>
      <c r="I56" s="56">
        <f t="shared" si="0"/>
        <v>1.54</v>
      </c>
      <c r="J56" s="56">
        <f t="shared" si="1"/>
        <v>2.1</v>
      </c>
      <c r="K56" s="190">
        <v>5.41</v>
      </c>
      <c r="L56" s="190" t="s">
        <v>1</v>
      </c>
      <c r="M56" s="7" t="s">
        <v>204</v>
      </c>
      <c r="N56" s="1"/>
    </row>
    <row r="57" spans="1:14" ht="12.75">
      <c r="A57" s="21" t="s">
        <v>95</v>
      </c>
      <c r="B57" s="208" t="s">
        <v>205</v>
      </c>
      <c r="C57" s="57" t="s">
        <v>98</v>
      </c>
      <c r="D57" s="56">
        <v>3</v>
      </c>
      <c r="E57" s="56">
        <v>5.19</v>
      </c>
      <c r="F57" s="56" t="s">
        <v>38</v>
      </c>
      <c r="G57" s="56" t="s">
        <v>38</v>
      </c>
      <c r="H57" s="58">
        <v>0.4</v>
      </c>
      <c r="I57" s="56">
        <f t="shared" si="0"/>
        <v>1.8</v>
      </c>
      <c r="J57" s="56">
        <f t="shared" si="1"/>
        <v>3.11</v>
      </c>
      <c r="K57" s="190">
        <v>5.41</v>
      </c>
      <c r="L57" s="190" t="s">
        <v>1</v>
      </c>
      <c r="M57" s="7" t="s">
        <v>206</v>
      </c>
      <c r="N57" s="1"/>
    </row>
    <row r="58" spans="1:14" ht="12.75">
      <c r="A58" s="21" t="s">
        <v>96</v>
      </c>
      <c r="B58" s="208" t="s">
        <v>207</v>
      </c>
      <c r="C58" s="57" t="s">
        <v>99</v>
      </c>
      <c r="D58" s="56">
        <v>8</v>
      </c>
      <c r="E58" s="56">
        <v>5.54</v>
      </c>
      <c r="F58" s="56" t="s">
        <v>38</v>
      </c>
      <c r="G58" s="56" t="s">
        <v>38</v>
      </c>
      <c r="H58" s="58">
        <v>0.4</v>
      </c>
      <c r="I58" s="56">
        <f t="shared" si="0"/>
        <v>4.8</v>
      </c>
      <c r="J58" s="56">
        <f t="shared" si="1"/>
        <v>3.32</v>
      </c>
      <c r="K58" s="190">
        <v>1.2</v>
      </c>
      <c r="L58" s="190" t="s">
        <v>3</v>
      </c>
      <c r="M58" s="7" t="s">
        <v>208</v>
      </c>
      <c r="N58" s="1"/>
    </row>
    <row r="59" spans="1:14" ht="13.5" thickBot="1">
      <c r="A59" s="23" t="s">
        <v>97</v>
      </c>
      <c r="B59" s="207" t="s">
        <v>209</v>
      </c>
      <c r="C59" s="50" t="s">
        <v>45</v>
      </c>
      <c r="D59" s="31">
        <v>2.89</v>
      </c>
      <c r="E59" s="31">
        <v>4.15</v>
      </c>
      <c r="F59" s="31" t="s">
        <v>38</v>
      </c>
      <c r="G59" s="31" t="s">
        <v>38</v>
      </c>
      <c r="H59" s="59">
        <v>0.28</v>
      </c>
      <c r="I59" s="31">
        <f t="shared" si="0"/>
        <v>2.08</v>
      </c>
      <c r="J59" s="31">
        <f t="shared" si="1"/>
        <v>2.99</v>
      </c>
      <c r="K59" s="190">
        <v>5.41</v>
      </c>
      <c r="L59" s="190" t="s">
        <v>1</v>
      </c>
      <c r="M59" s="6" t="s">
        <v>210</v>
      </c>
      <c r="N59" s="1"/>
    </row>
    <row r="60" spans="1:14" ht="12.75">
      <c r="A60" s="22" t="s">
        <v>271</v>
      </c>
      <c r="B60" s="211"/>
      <c r="C60" s="60"/>
      <c r="D60" s="55"/>
      <c r="E60" s="55"/>
      <c r="F60" s="55"/>
      <c r="G60" s="55"/>
      <c r="H60" s="61"/>
      <c r="I60" s="55"/>
      <c r="J60" s="55"/>
      <c r="K60" s="193"/>
      <c r="L60" s="193"/>
      <c r="M60" s="8"/>
      <c r="N60" s="1"/>
    </row>
    <row r="61" spans="1:14" ht="12.75">
      <c r="A61" s="21" t="s">
        <v>100</v>
      </c>
      <c r="B61" s="208" t="s">
        <v>211</v>
      </c>
      <c r="C61" s="57" t="s">
        <v>45</v>
      </c>
      <c r="D61" s="56">
        <v>45.42</v>
      </c>
      <c r="E61" s="56">
        <v>32.65</v>
      </c>
      <c r="F61" s="56" t="s">
        <v>38</v>
      </c>
      <c r="G61" s="56" t="s">
        <v>38</v>
      </c>
      <c r="H61" s="58">
        <v>0.5</v>
      </c>
      <c r="I61" s="56">
        <f t="shared" si="0"/>
        <v>22.71</v>
      </c>
      <c r="J61" s="56">
        <f t="shared" si="1"/>
        <v>16.33</v>
      </c>
      <c r="K61" s="190">
        <v>3.39</v>
      </c>
      <c r="L61" s="190" t="s">
        <v>3</v>
      </c>
      <c r="M61" s="7" t="s">
        <v>212</v>
      </c>
      <c r="N61" s="1"/>
    </row>
    <row r="62" spans="1:14" ht="12.75">
      <c r="A62" s="21" t="s">
        <v>101</v>
      </c>
      <c r="B62" s="208" t="s">
        <v>213</v>
      </c>
      <c r="C62" s="57" t="s">
        <v>45</v>
      </c>
      <c r="D62" s="56">
        <v>43.87</v>
      </c>
      <c r="E62" s="56">
        <v>26.15</v>
      </c>
      <c r="F62" s="56" t="s">
        <v>38</v>
      </c>
      <c r="G62" s="56" t="s">
        <v>38</v>
      </c>
      <c r="H62" s="58">
        <v>0.5</v>
      </c>
      <c r="I62" s="56">
        <f t="shared" si="0"/>
        <v>21.94</v>
      </c>
      <c r="J62" s="56">
        <f t="shared" si="1"/>
        <v>13.08</v>
      </c>
      <c r="K62" s="190">
        <v>3.39</v>
      </c>
      <c r="L62" s="190" t="s">
        <v>3</v>
      </c>
      <c r="M62" s="7" t="s">
        <v>214</v>
      </c>
      <c r="N62" s="1"/>
    </row>
    <row r="63" spans="1:14" ht="12.75">
      <c r="A63" s="21" t="s">
        <v>102</v>
      </c>
      <c r="B63" s="208" t="s">
        <v>215</v>
      </c>
      <c r="C63" s="57" t="s">
        <v>45</v>
      </c>
      <c r="D63" s="56">
        <v>10.81</v>
      </c>
      <c r="E63" s="56">
        <v>9.85</v>
      </c>
      <c r="F63" s="56" t="s">
        <v>38</v>
      </c>
      <c r="G63" s="56" t="s">
        <v>38</v>
      </c>
      <c r="H63" s="58">
        <v>0.43</v>
      </c>
      <c r="I63" s="56">
        <f t="shared" si="0"/>
        <v>6.16</v>
      </c>
      <c r="J63" s="56">
        <f t="shared" si="1"/>
        <v>5.61</v>
      </c>
      <c r="K63" s="190">
        <v>5.41</v>
      </c>
      <c r="L63" s="190" t="s">
        <v>1</v>
      </c>
      <c r="M63" s="7" t="s">
        <v>216</v>
      </c>
      <c r="N63" s="1"/>
    </row>
    <row r="64" spans="1:14" ht="12.75">
      <c r="A64" s="21" t="s">
        <v>438</v>
      </c>
      <c r="B64" s="208" t="s">
        <v>217</v>
      </c>
      <c r="C64" s="57" t="s">
        <v>45</v>
      </c>
      <c r="D64" s="56">
        <v>0.81</v>
      </c>
      <c r="E64" s="56">
        <v>7.49</v>
      </c>
      <c r="F64" s="56" t="s">
        <v>38</v>
      </c>
      <c r="G64" s="56" t="s">
        <v>38</v>
      </c>
      <c r="H64" s="58">
        <v>0.44</v>
      </c>
      <c r="I64" s="56">
        <f t="shared" si="0"/>
        <v>0.45</v>
      </c>
      <c r="J64" s="56">
        <f t="shared" si="1"/>
        <v>4.19</v>
      </c>
      <c r="K64" s="190">
        <v>5.41</v>
      </c>
      <c r="L64" s="190" t="s">
        <v>1</v>
      </c>
      <c r="M64" s="7" t="s">
        <v>218</v>
      </c>
      <c r="N64" s="1"/>
    </row>
    <row r="65" spans="1:14" ht="13.5" thickBot="1">
      <c r="A65" s="161" t="s">
        <v>451</v>
      </c>
      <c r="B65" s="212" t="s">
        <v>439</v>
      </c>
      <c r="C65" s="162" t="s">
        <v>45</v>
      </c>
      <c r="D65" s="163">
        <v>100.58</v>
      </c>
      <c r="E65" s="163">
        <v>42.8</v>
      </c>
      <c r="F65" s="163" t="s">
        <v>38</v>
      </c>
      <c r="G65" s="163" t="s">
        <v>38</v>
      </c>
      <c r="H65" s="164">
        <v>0.7</v>
      </c>
      <c r="I65" s="56">
        <f t="shared" si="0"/>
        <v>30.17</v>
      </c>
      <c r="J65" s="56">
        <f t="shared" si="1"/>
        <v>12.84</v>
      </c>
      <c r="K65" s="194">
        <v>1.2</v>
      </c>
      <c r="L65" s="194" t="s">
        <v>3</v>
      </c>
      <c r="M65" s="165"/>
      <c r="N65" s="1"/>
    </row>
    <row r="66" spans="1:14" ht="12.75">
      <c r="A66" s="22" t="s">
        <v>270</v>
      </c>
      <c r="B66" s="211"/>
      <c r="C66" s="60"/>
      <c r="D66" s="55"/>
      <c r="E66" s="55"/>
      <c r="F66" s="55"/>
      <c r="G66" s="55"/>
      <c r="H66" s="61"/>
      <c r="I66" s="55"/>
      <c r="J66" s="55"/>
      <c r="K66" s="193"/>
      <c r="L66" s="193"/>
      <c r="M66" s="8"/>
      <c r="N66" s="1"/>
    </row>
    <row r="67" spans="1:14" ht="12.75">
      <c r="A67" s="21" t="s">
        <v>442</v>
      </c>
      <c r="B67" s="208" t="s">
        <v>219</v>
      </c>
      <c r="C67" s="57" t="s">
        <v>45</v>
      </c>
      <c r="D67" s="56">
        <v>1.06</v>
      </c>
      <c r="E67" s="56">
        <v>4.98</v>
      </c>
      <c r="F67" s="56" t="s">
        <v>38</v>
      </c>
      <c r="G67" s="56" t="s">
        <v>38</v>
      </c>
      <c r="H67" s="58">
        <v>0.3</v>
      </c>
      <c r="I67" s="56">
        <f t="shared" si="0"/>
        <v>0.74</v>
      </c>
      <c r="J67" s="56">
        <f t="shared" si="1"/>
        <v>3.49</v>
      </c>
      <c r="K67" s="190">
        <v>5.41</v>
      </c>
      <c r="L67" s="190" t="s">
        <v>1</v>
      </c>
      <c r="M67" s="7" t="s">
        <v>220</v>
      </c>
      <c r="N67" s="1"/>
    </row>
    <row r="68" spans="1:14" ht="12.75">
      <c r="A68" s="21" t="s">
        <v>103</v>
      </c>
      <c r="B68" s="208" t="s">
        <v>221</v>
      </c>
      <c r="C68" s="57" t="s">
        <v>45</v>
      </c>
      <c r="D68" s="56">
        <v>2.43</v>
      </c>
      <c r="E68" s="56">
        <v>6.94</v>
      </c>
      <c r="F68" s="56" t="s">
        <v>38</v>
      </c>
      <c r="G68" s="56" t="s">
        <v>38</v>
      </c>
      <c r="H68" s="58">
        <v>0.3</v>
      </c>
      <c r="I68" s="56">
        <f t="shared" si="0"/>
        <v>1.7</v>
      </c>
      <c r="J68" s="56">
        <f t="shared" si="1"/>
        <v>4.86</v>
      </c>
      <c r="K68" s="190">
        <v>5.41</v>
      </c>
      <c r="L68" s="190" t="s">
        <v>1</v>
      </c>
      <c r="M68" s="7" t="s">
        <v>222</v>
      </c>
      <c r="N68" s="1"/>
    </row>
    <row r="69" spans="1:14" ht="12.75">
      <c r="A69" s="21" t="s">
        <v>104</v>
      </c>
      <c r="B69" s="208" t="s">
        <v>223</v>
      </c>
      <c r="C69" s="57" t="s">
        <v>45</v>
      </c>
      <c r="D69" s="56">
        <v>1.49</v>
      </c>
      <c r="E69" s="56">
        <v>2.33</v>
      </c>
      <c r="F69" s="56" t="s">
        <v>38</v>
      </c>
      <c r="G69" s="56" t="s">
        <v>38</v>
      </c>
      <c r="H69" s="58">
        <v>0.48</v>
      </c>
      <c r="I69" s="56">
        <f t="shared" si="0"/>
        <v>0.77</v>
      </c>
      <c r="J69" s="56">
        <f t="shared" si="1"/>
        <v>1.21</v>
      </c>
      <c r="K69" s="190">
        <v>5.4</v>
      </c>
      <c r="L69" s="190" t="s">
        <v>1</v>
      </c>
      <c r="M69" s="7" t="s">
        <v>224</v>
      </c>
      <c r="N69" s="1"/>
    </row>
    <row r="70" spans="1:14" ht="12.75">
      <c r="A70" s="21" t="s">
        <v>443</v>
      </c>
      <c r="B70" s="208" t="s">
        <v>440</v>
      </c>
      <c r="C70" s="57" t="s">
        <v>45</v>
      </c>
      <c r="D70" s="56">
        <v>2.94</v>
      </c>
      <c r="E70" s="56">
        <v>8.4</v>
      </c>
      <c r="F70" s="56" t="s">
        <v>478</v>
      </c>
      <c r="G70" s="56" t="s">
        <v>38</v>
      </c>
      <c r="H70" s="58">
        <v>0.53</v>
      </c>
      <c r="I70" s="56">
        <f t="shared" si="0"/>
        <v>1.38</v>
      </c>
      <c r="J70" s="56">
        <f t="shared" si="1"/>
        <v>3.95</v>
      </c>
      <c r="K70" s="190">
        <v>5.41</v>
      </c>
      <c r="L70" s="190" t="s">
        <v>1</v>
      </c>
      <c r="M70" s="7"/>
      <c r="N70" s="1"/>
    </row>
    <row r="71" spans="1:14" ht="12.75">
      <c r="A71" s="21" t="s">
        <v>444</v>
      </c>
      <c r="B71" s="208" t="s">
        <v>225</v>
      </c>
      <c r="C71" s="57" t="s">
        <v>45</v>
      </c>
      <c r="D71" s="56">
        <v>3.45</v>
      </c>
      <c r="E71" s="56">
        <v>9.91</v>
      </c>
      <c r="F71" s="56" t="s">
        <v>38</v>
      </c>
      <c r="G71" s="56" t="s">
        <v>38</v>
      </c>
      <c r="H71" s="58">
        <v>0.49</v>
      </c>
      <c r="I71" s="56">
        <f t="shared" si="0"/>
        <v>1.76</v>
      </c>
      <c r="J71" s="56">
        <f t="shared" si="1"/>
        <v>5.05</v>
      </c>
      <c r="K71" s="190">
        <v>5.41</v>
      </c>
      <c r="L71" s="190" t="s">
        <v>1</v>
      </c>
      <c r="M71" s="7" t="s">
        <v>226</v>
      </c>
      <c r="N71" s="1"/>
    </row>
    <row r="72" spans="1:14" ht="12.75">
      <c r="A72" s="21" t="s">
        <v>105</v>
      </c>
      <c r="B72" s="208" t="s">
        <v>227</v>
      </c>
      <c r="C72" s="57" t="s">
        <v>45</v>
      </c>
      <c r="D72" s="56">
        <v>0.96</v>
      </c>
      <c r="E72" s="56">
        <v>3.71</v>
      </c>
      <c r="F72" s="56" t="s">
        <v>479</v>
      </c>
      <c r="G72" s="56" t="s">
        <v>480</v>
      </c>
      <c r="H72" s="58">
        <v>0.34</v>
      </c>
      <c r="I72" s="56">
        <f t="shared" si="0"/>
        <v>0.63</v>
      </c>
      <c r="J72" s="56">
        <f t="shared" si="1"/>
        <v>2.45</v>
      </c>
      <c r="K72" s="190">
        <v>5.41</v>
      </c>
      <c r="L72" s="190" t="s">
        <v>1</v>
      </c>
      <c r="M72" s="7" t="s">
        <v>228</v>
      </c>
      <c r="N72" s="1"/>
    </row>
    <row r="73" spans="1:14" ht="12.75">
      <c r="A73" s="21" t="s">
        <v>106</v>
      </c>
      <c r="B73" s="208" t="s">
        <v>229</v>
      </c>
      <c r="C73" s="57" t="s">
        <v>45</v>
      </c>
      <c r="D73" s="56">
        <v>3.4</v>
      </c>
      <c r="E73" s="56">
        <v>9.48</v>
      </c>
      <c r="F73" s="53" t="s">
        <v>38</v>
      </c>
      <c r="G73" s="56" t="s">
        <v>481</v>
      </c>
      <c r="H73" s="58">
        <v>0.36</v>
      </c>
      <c r="I73" s="56">
        <f t="shared" si="0"/>
        <v>2.18</v>
      </c>
      <c r="J73" s="56">
        <f t="shared" si="1"/>
        <v>6.07</v>
      </c>
      <c r="K73" s="190">
        <v>5.41</v>
      </c>
      <c r="L73" s="190" t="s">
        <v>1</v>
      </c>
      <c r="M73" s="7" t="s">
        <v>4</v>
      </c>
      <c r="N73" s="1"/>
    </row>
    <row r="74" spans="1:14" ht="12.75">
      <c r="A74" s="21" t="s">
        <v>107</v>
      </c>
      <c r="B74" s="206" t="s">
        <v>230</v>
      </c>
      <c r="C74" s="52" t="s">
        <v>45</v>
      </c>
      <c r="D74" s="53">
        <v>0</v>
      </c>
      <c r="E74" s="53">
        <v>4.99</v>
      </c>
      <c r="F74" s="53" t="s">
        <v>38</v>
      </c>
      <c r="G74" s="53" t="s">
        <v>38</v>
      </c>
      <c r="H74" s="54">
        <v>0.3</v>
      </c>
      <c r="I74" s="56">
        <f t="shared" si="0"/>
        <v>0</v>
      </c>
      <c r="J74" s="56">
        <f t="shared" si="1"/>
        <v>3.49</v>
      </c>
      <c r="K74" s="190">
        <v>5.41</v>
      </c>
      <c r="L74" s="190" t="s">
        <v>1</v>
      </c>
      <c r="M74" s="5" t="s">
        <v>231</v>
      </c>
      <c r="N74" s="1"/>
    </row>
    <row r="75" spans="1:14" ht="12.75">
      <c r="A75" s="156" t="s">
        <v>445</v>
      </c>
      <c r="B75" s="212" t="s">
        <v>441</v>
      </c>
      <c r="C75" s="162" t="s">
        <v>45</v>
      </c>
      <c r="D75" s="163">
        <v>0.58</v>
      </c>
      <c r="E75" s="163">
        <v>1.87</v>
      </c>
      <c r="F75" s="163" t="s">
        <v>38</v>
      </c>
      <c r="G75" s="163" t="s">
        <v>38</v>
      </c>
      <c r="H75" s="164">
        <v>0.3</v>
      </c>
      <c r="I75" s="158">
        <f t="shared" si="0"/>
        <v>0.41</v>
      </c>
      <c r="J75" s="158">
        <f t="shared" si="1"/>
        <v>1.31</v>
      </c>
      <c r="K75" s="190">
        <v>5.41</v>
      </c>
      <c r="L75" s="191" t="s">
        <v>1</v>
      </c>
      <c r="M75" s="165"/>
      <c r="N75" s="1"/>
    </row>
    <row r="76" spans="1:14" ht="13.5" thickBot="1">
      <c r="A76" s="23" t="s">
        <v>108</v>
      </c>
      <c r="B76" s="207" t="s">
        <v>232</v>
      </c>
      <c r="C76" s="50" t="s">
        <v>45</v>
      </c>
      <c r="D76" s="31">
        <v>0</v>
      </c>
      <c r="E76" s="31">
        <v>13.6</v>
      </c>
      <c r="F76" s="31" t="s">
        <v>38</v>
      </c>
      <c r="G76" s="31" t="s">
        <v>233</v>
      </c>
      <c r="H76" s="59">
        <v>0.5</v>
      </c>
      <c r="I76" s="31">
        <f>ROUND(D76*(1-H76),2)</f>
        <v>0</v>
      </c>
      <c r="J76" s="31">
        <f>ROUND(E76*(1-H76),2)</f>
        <v>6.8</v>
      </c>
      <c r="K76" s="190">
        <v>5.41</v>
      </c>
      <c r="L76" s="191" t="s">
        <v>1</v>
      </c>
      <c r="M76" s="6" t="s">
        <v>234</v>
      </c>
      <c r="N76" s="1"/>
    </row>
    <row r="77" spans="1:14" ht="12.75">
      <c r="A77" s="22" t="s">
        <v>109</v>
      </c>
      <c r="B77" s="211"/>
      <c r="C77" s="60"/>
      <c r="D77" s="55"/>
      <c r="E77" s="55"/>
      <c r="F77" s="55"/>
      <c r="G77" s="55"/>
      <c r="H77" s="61"/>
      <c r="I77" s="55"/>
      <c r="J77" s="55"/>
      <c r="K77" s="193"/>
      <c r="L77" s="193"/>
      <c r="M77" s="8"/>
      <c r="N77" s="1"/>
    </row>
    <row r="78" spans="1:14" ht="12.75">
      <c r="A78" s="21" t="s">
        <v>110</v>
      </c>
      <c r="B78" s="208" t="s">
        <v>235</v>
      </c>
      <c r="C78" s="52" t="s">
        <v>45</v>
      </c>
      <c r="D78" s="56">
        <v>0</v>
      </c>
      <c r="E78" s="56">
        <v>12.13</v>
      </c>
      <c r="F78" s="56" t="s">
        <v>38</v>
      </c>
      <c r="G78" s="56" t="s">
        <v>38</v>
      </c>
      <c r="H78" s="58">
        <v>0.4</v>
      </c>
      <c r="I78" s="56">
        <f>ROUND(D78*(1-H78),2)</f>
        <v>0</v>
      </c>
      <c r="J78" s="56">
        <f>ROUND(E78*(1-H78),2)</f>
        <v>7.28</v>
      </c>
      <c r="K78" s="190">
        <v>3.39</v>
      </c>
      <c r="L78" s="190" t="s">
        <v>3</v>
      </c>
      <c r="M78" s="7" t="s">
        <v>236</v>
      </c>
      <c r="N78" s="1"/>
    </row>
    <row r="79" spans="1:14" ht="12.75">
      <c r="A79" s="156" t="s">
        <v>273</v>
      </c>
      <c r="B79" s="209" t="s">
        <v>237</v>
      </c>
      <c r="C79" s="162" t="s">
        <v>315</v>
      </c>
      <c r="D79" s="158">
        <v>9.29</v>
      </c>
      <c r="E79" s="158">
        <v>33.24</v>
      </c>
      <c r="F79" s="158" t="s">
        <v>38</v>
      </c>
      <c r="G79" s="158" t="s">
        <v>38</v>
      </c>
      <c r="H79" s="159">
        <v>0.47</v>
      </c>
      <c r="I79" s="56">
        <f>ROUND(D79*(1-H79),2)</f>
        <v>4.92</v>
      </c>
      <c r="J79" s="56">
        <f>ROUND(E79*(1-H79),2)</f>
        <v>17.62</v>
      </c>
      <c r="K79" s="191">
        <v>3.39</v>
      </c>
      <c r="L79" s="191" t="s">
        <v>3</v>
      </c>
      <c r="M79" s="160" t="s">
        <v>238</v>
      </c>
      <c r="N79" s="1"/>
    </row>
    <row r="80" spans="1:14" ht="13.5" thickBot="1">
      <c r="A80" s="28" t="s">
        <v>446</v>
      </c>
      <c r="B80" s="213" t="s">
        <v>447</v>
      </c>
      <c r="C80" s="62" t="s">
        <v>448</v>
      </c>
      <c r="D80" s="63">
        <v>1.21</v>
      </c>
      <c r="E80" s="63">
        <v>1.45</v>
      </c>
      <c r="F80" s="63" t="s">
        <v>38</v>
      </c>
      <c r="G80" s="63" t="s">
        <v>38</v>
      </c>
      <c r="H80" s="64">
        <v>0.3</v>
      </c>
      <c r="I80" s="63">
        <f>ROUND(D80*(1-H80),2)</f>
        <v>0.85</v>
      </c>
      <c r="J80" s="56">
        <f>ROUND(E80*(1-H80),2)</f>
        <v>1.02</v>
      </c>
      <c r="K80" s="195">
        <v>3.39</v>
      </c>
      <c r="L80" s="195" t="s">
        <v>3</v>
      </c>
      <c r="M80" s="9"/>
      <c r="N80" s="1"/>
    </row>
    <row r="81" spans="1:14" ht="18" customHeight="1" thickTop="1">
      <c r="A81" s="421" t="s">
        <v>457</v>
      </c>
      <c r="B81" s="421"/>
      <c r="C81" s="421"/>
      <c r="D81" s="421"/>
      <c r="E81" s="421"/>
      <c r="F81" s="421"/>
      <c r="G81" s="421"/>
      <c r="H81" s="421"/>
      <c r="I81" s="421"/>
      <c r="J81" s="421"/>
      <c r="K81" s="421"/>
      <c r="L81" s="421"/>
      <c r="M81" s="421"/>
      <c r="N81" s="1"/>
    </row>
    <row r="82" spans="1:14" ht="15" customHeight="1">
      <c r="A82" s="422"/>
      <c r="B82" s="422"/>
      <c r="C82" s="422"/>
      <c r="D82" s="422"/>
      <c r="E82" s="422"/>
      <c r="F82" s="422"/>
      <c r="G82" s="422"/>
      <c r="H82" s="422"/>
      <c r="I82" s="422"/>
      <c r="J82" s="422"/>
      <c r="K82" s="422"/>
      <c r="L82" s="422"/>
      <c r="M82" s="422"/>
      <c r="N82" s="1"/>
    </row>
    <row r="83" ht="12.75" hidden="1">
      <c r="H83" s="216"/>
    </row>
    <row r="84" ht="12.75" hidden="1">
      <c r="H84" s="216"/>
    </row>
  </sheetData>
  <sheetProtection password="FFAE" sheet="1" selectLockedCells="1" selectUnlockedCells="1"/>
  <mergeCells count="2">
    <mergeCell ref="A1:M1"/>
    <mergeCell ref="A81:M82"/>
  </mergeCells>
  <conditionalFormatting sqref="H5:H40 H42:H48">
    <cfRule type="cellIs" priority="2" dxfId="0" operator="equal" stopIfTrue="1">
      <formula>0</formula>
    </cfRule>
  </conditionalFormatting>
  <conditionalFormatting sqref="H41">
    <cfRule type="cellIs" priority="1" dxfId="0" operator="equal" stopIfTrue="1">
      <formula>0</formula>
    </cfRule>
  </conditionalFormatting>
  <printOptions horizontalCentered="1" verticalCentered="1"/>
  <pageMargins left="0.75" right="0.75" top="1" bottom="1" header="0.5" footer="0.5"/>
  <pageSetup fitToHeight="1" fitToWidth="1" horizontalDpi="600" verticalDpi="600" orientation="portrait" paperSize="17" scale="44" r:id="rId1"/>
  <ignoredErrors>
    <ignoredError sqref="B5:B41 B43:B65 B66:B69 B71:B74 B76:B78" numberStoredAsText="1"/>
  </ignoredErrors>
</worksheet>
</file>

<file path=xl/worksheets/sheet3.xml><?xml version="1.0" encoding="utf-8"?>
<worksheet xmlns="http://schemas.openxmlformats.org/spreadsheetml/2006/main" xmlns:r="http://schemas.openxmlformats.org/officeDocument/2006/relationships">
  <sheetPr>
    <tabColor indexed="51"/>
    <pageSetUpPr fitToPage="1"/>
  </sheetPr>
  <dimension ref="A1:J26"/>
  <sheetViews>
    <sheetView showRowColHeaders="0" zoomScalePageLayoutView="0" workbookViewId="0" topLeftCell="A1">
      <selection activeCell="F12" sqref="F12:F18"/>
    </sheetView>
  </sheetViews>
  <sheetFormatPr defaultColWidth="0" defaultRowHeight="12.75" zeroHeight="1"/>
  <cols>
    <col min="1" max="1" width="4.57421875" style="0" customWidth="1"/>
    <col min="2" max="2" width="34.00390625" style="0" customWidth="1"/>
    <col min="3" max="3" width="10.28125" style="0" customWidth="1"/>
    <col min="4" max="4" width="11.00390625" style="0" customWidth="1"/>
    <col min="5" max="6" width="22.57421875" style="0" customWidth="1"/>
    <col min="7" max="7" width="13.421875" style="0" customWidth="1"/>
    <col min="8" max="8" width="14.57421875" style="0" customWidth="1"/>
    <col min="9" max="9" width="18.8515625" style="0" customWidth="1"/>
    <col min="10" max="16384" width="0" style="0" hidden="1" customWidth="1"/>
  </cols>
  <sheetData>
    <row r="1" spans="1:10" s="11" customFormat="1" ht="32.25" customHeight="1">
      <c r="A1" s="423" t="s">
        <v>460</v>
      </c>
      <c r="B1" s="424"/>
      <c r="C1" s="424"/>
      <c r="D1" s="424"/>
      <c r="E1" s="424"/>
      <c r="F1" s="424"/>
      <c r="G1" s="424"/>
      <c r="H1" s="425"/>
      <c r="I1" s="29"/>
      <c r="J1" s="10"/>
    </row>
    <row r="2" spans="1:9" ht="39">
      <c r="A2" s="429"/>
      <c r="B2" s="37" t="s">
        <v>6</v>
      </c>
      <c r="C2" s="37" t="s">
        <v>7</v>
      </c>
      <c r="D2" s="40" t="s">
        <v>8</v>
      </c>
      <c r="E2" s="41" t="s">
        <v>10</v>
      </c>
      <c r="F2" s="173" t="s">
        <v>455</v>
      </c>
      <c r="G2" s="38" t="s">
        <v>9</v>
      </c>
      <c r="H2" s="38" t="s">
        <v>11</v>
      </c>
      <c r="I2" s="42"/>
    </row>
    <row r="3" spans="1:9" ht="6" customHeight="1">
      <c r="A3" s="429"/>
      <c r="B3" s="430"/>
      <c r="C3" s="431"/>
      <c r="D3" s="431"/>
      <c r="E3" s="431"/>
      <c r="F3" s="431"/>
      <c r="G3" s="431"/>
      <c r="H3" s="432"/>
      <c r="I3" s="42"/>
    </row>
    <row r="4" spans="1:9" ht="12.75">
      <c r="A4" s="429"/>
      <c r="B4" s="120" t="s">
        <v>336</v>
      </c>
      <c r="C4" s="174">
        <v>425</v>
      </c>
      <c r="D4" s="175">
        <v>2</v>
      </c>
      <c r="E4" s="176">
        <f>ResCol!H60</f>
        <v>3380702.2822222225</v>
      </c>
      <c r="F4" s="177"/>
      <c r="G4" s="178">
        <f>ROUND(E4/(D4*C4),0)</f>
        <v>3977</v>
      </c>
      <c r="H4" s="39">
        <f aca="true" t="shared" si="0" ref="H4:H18">ROUNDDOWN((E4/5280)/D4,2)</f>
        <v>320.14</v>
      </c>
      <c r="I4" s="42"/>
    </row>
    <row r="5" spans="1:9" ht="12.75">
      <c r="A5" s="429"/>
      <c r="B5" s="120" t="s">
        <v>393</v>
      </c>
      <c r="C5" s="174">
        <v>475</v>
      </c>
      <c r="D5" s="175">
        <v>4</v>
      </c>
      <c r="E5" s="176">
        <f>NeighCol!H60</f>
        <v>3864127.96</v>
      </c>
      <c r="F5" s="177"/>
      <c r="G5" s="178">
        <f>ROUND(E5/(D5*C5),0)</f>
        <v>2034</v>
      </c>
      <c r="H5" s="39">
        <f t="shared" si="0"/>
        <v>182.96</v>
      </c>
      <c r="I5" s="42"/>
    </row>
    <row r="6" spans="1:9" ht="12.75">
      <c r="A6" s="429"/>
      <c r="B6" s="120" t="s">
        <v>395</v>
      </c>
      <c r="C6" s="174">
        <v>525</v>
      </c>
      <c r="D6" s="175">
        <v>4</v>
      </c>
      <c r="E6" s="176">
        <f>CommCol!H60</f>
        <v>4859305.953333333</v>
      </c>
      <c r="F6" s="177"/>
      <c r="G6" s="178">
        <f aca="true" t="shared" si="1" ref="G6:G18">ROUND(E6/(D6*C6),0)</f>
        <v>2314</v>
      </c>
      <c r="H6" s="39">
        <f t="shared" si="0"/>
        <v>230.08</v>
      </c>
      <c r="I6" s="42"/>
    </row>
    <row r="7" spans="1:9" ht="12.75">
      <c r="A7" s="429"/>
      <c r="B7" s="120" t="s">
        <v>397</v>
      </c>
      <c r="C7" s="174">
        <v>525</v>
      </c>
      <c r="D7" s="175">
        <v>4</v>
      </c>
      <c r="E7" s="176">
        <f>IndCol!H60</f>
        <v>5348818.346666666</v>
      </c>
      <c r="F7" s="177"/>
      <c r="G7" s="178">
        <f t="shared" si="1"/>
        <v>2547</v>
      </c>
      <c r="H7" s="39">
        <f t="shared" si="0"/>
        <v>253.25</v>
      </c>
      <c r="I7" s="42"/>
    </row>
    <row r="8" spans="1:9" ht="12.75">
      <c r="A8" s="429"/>
      <c r="B8" s="120" t="s">
        <v>399</v>
      </c>
      <c r="C8" s="174">
        <v>500</v>
      </c>
      <c r="D8" s="175">
        <v>4</v>
      </c>
      <c r="E8" s="176">
        <f>PCU4!H60</f>
        <v>4408420.793333333</v>
      </c>
      <c r="F8" s="177"/>
      <c r="G8" s="178">
        <f t="shared" si="1"/>
        <v>2204</v>
      </c>
      <c r="H8" s="39">
        <f t="shared" si="0"/>
        <v>208.73</v>
      </c>
      <c r="I8" s="42"/>
    </row>
    <row r="9" spans="1:9" ht="12.75">
      <c r="A9" s="429"/>
      <c r="B9" s="120" t="s">
        <v>401</v>
      </c>
      <c r="C9" s="174">
        <v>550</v>
      </c>
      <c r="D9" s="175">
        <v>4</v>
      </c>
      <c r="E9" s="176">
        <f>PCU5!H60</f>
        <v>5348818.346666666</v>
      </c>
      <c r="F9" s="177"/>
      <c r="G9" s="178">
        <f t="shared" si="1"/>
        <v>2431</v>
      </c>
      <c r="H9" s="39">
        <f t="shared" si="0"/>
        <v>253.25</v>
      </c>
      <c r="I9" s="42"/>
    </row>
    <row r="10" spans="1:9" ht="12.75">
      <c r="A10" s="429"/>
      <c r="B10" s="120" t="s">
        <v>403</v>
      </c>
      <c r="C10" s="174">
        <v>575</v>
      </c>
      <c r="D10" s="175">
        <v>4</v>
      </c>
      <c r="E10" s="176">
        <f>PCD4!H60</f>
        <v>5781443.36</v>
      </c>
      <c r="F10" s="177"/>
      <c r="G10" s="178">
        <f t="shared" si="1"/>
        <v>2514</v>
      </c>
      <c r="H10" s="39">
        <f t="shared" si="0"/>
        <v>273.74</v>
      </c>
      <c r="I10" s="42"/>
    </row>
    <row r="11" spans="1:9" ht="12.75">
      <c r="A11" s="429"/>
      <c r="B11" s="120" t="s">
        <v>420</v>
      </c>
      <c r="C11" s="174">
        <v>600</v>
      </c>
      <c r="D11" s="175">
        <v>6</v>
      </c>
      <c r="E11" s="176">
        <f>PCD6!H60</f>
        <v>7393954.7733333325</v>
      </c>
      <c r="F11" s="177"/>
      <c r="G11" s="178">
        <f t="shared" si="1"/>
        <v>2054</v>
      </c>
      <c r="H11" s="39">
        <f t="shared" si="0"/>
        <v>233.39</v>
      </c>
      <c r="I11" s="42"/>
    </row>
    <row r="12" spans="1:9" ht="12.75">
      <c r="A12" s="429"/>
      <c r="B12" s="120" t="s">
        <v>485</v>
      </c>
      <c r="C12" s="174">
        <v>725</v>
      </c>
      <c r="D12" s="175">
        <v>4</v>
      </c>
      <c r="E12" s="176">
        <f>MND4!H60</f>
        <v>6541837.622222221</v>
      </c>
      <c r="F12" s="177"/>
      <c r="G12" s="178">
        <f t="shared" si="1"/>
        <v>2256</v>
      </c>
      <c r="H12" s="39">
        <f t="shared" si="0"/>
        <v>309.74</v>
      </c>
      <c r="I12" s="42"/>
    </row>
    <row r="13" spans="1:9" ht="12.75">
      <c r="A13" s="429"/>
      <c r="B13" s="179" t="s">
        <v>406</v>
      </c>
      <c r="C13" s="180">
        <v>650</v>
      </c>
      <c r="D13" s="181">
        <v>4</v>
      </c>
      <c r="E13" s="182">
        <f>MNR4!H60</f>
        <v>5178658.955555555</v>
      </c>
      <c r="F13" s="187">
        <v>0.102276520127148</v>
      </c>
      <c r="G13" s="183">
        <f t="shared" si="1"/>
        <v>1992</v>
      </c>
      <c r="H13" s="184">
        <f t="shared" si="0"/>
        <v>245.2</v>
      </c>
      <c r="I13" s="42"/>
    </row>
    <row r="14" spans="1:9" ht="12.75">
      <c r="A14" s="429"/>
      <c r="B14" s="179" t="s">
        <v>408</v>
      </c>
      <c r="C14" s="180">
        <v>625</v>
      </c>
      <c r="D14" s="181">
        <v>4</v>
      </c>
      <c r="E14" s="182">
        <f>MNR5!H60</f>
        <v>6073244.955555556</v>
      </c>
      <c r="F14" s="187">
        <v>0.250473244266317</v>
      </c>
      <c r="G14" s="183">
        <f t="shared" si="1"/>
        <v>2429</v>
      </c>
      <c r="H14" s="184">
        <f t="shared" si="0"/>
        <v>287.55</v>
      </c>
      <c r="I14" s="42"/>
    </row>
    <row r="15" spans="1:9" ht="12.75">
      <c r="A15" s="429"/>
      <c r="B15" s="179" t="s">
        <v>483</v>
      </c>
      <c r="C15" s="180">
        <v>750</v>
      </c>
      <c r="D15" s="181">
        <v>4</v>
      </c>
      <c r="E15" s="182">
        <f>MAD4!H60</f>
        <v>7204967.244444443</v>
      </c>
      <c r="F15" s="187">
        <v>0.250473244266317</v>
      </c>
      <c r="G15" s="183">
        <f t="shared" si="1"/>
        <v>2402</v>
      </c>
      <c r="H15" s="184">
        <f t="shared" si="0"/>
        <v>341.14</v>
      </c>
      <c r="I15" s="42"/>
    </row>
    <row r="16" spans="1:9" ht="12.75">
      <c r="A16" s="429"/>
      <c r="B16" s="179" t="s">
        <v>411</v>
      </c>
      <c r="C16" s="180">
        <v>600</v>
      </c>
      <c r="D16" s="181">
        <v>4</v>
      </c>
      <c r="E16" s="182">
        <f>MAU4!H60</f>
        <v>5956806.777777777</v>
      </c>
      <c r="F16" s="187">
        <v>0.0488140697421397</v>
      </c>
      <c r="G16" s="183">
        <f t="shared" si="1"/>
        <v>2482</v>
      </c>
      <c r="H16" s="184">
        <f t="shared" si="0"/>
        <v>282.04</v>
      </c>
      <c r="I16" s="42"/>
    </row>
    <row r="17" spans="1:9" ht="12.75">
      <c r="A17" s="429"/>
      <c r="B17" s="179" t="s">
        <v>413</v>
      </c>
      <c r="C17" s="180">
        <v>750</v>
      </c>
      <c r="D17" s="181">
        <v>6</v>
      </c>
      <c r="E17" s="182">
        <f>MAD6!H60</f>
        <v>9633313.457777778</v>
      </c>
      <c r="F17" s="187">
        <v>0.336092753704481</v>
      </c>
      <c r="G17" s="183">
        <f t="shared" si="1"/>
        <v>2141</v>
      </c>
      <c r="H17" s="184">
        <f t="shared" si="0"/>
        <v>304.08</v>
      </c>
      <c r="I17" s="42"/>
    </row>
    <row r="18" spans="1:9" ht="13.5" thickBot="1">
      <c r="A18" s="429"/>
      <c r="B18" s="185" t="s">
        <v>421</v>
      </c>
      <c r="C18" s="180">
        <v>825</v>
      </c>
      <c r="D18" s="181">
        <v>8</v>
      </c>
      <c r="E18" s="182">
        <f>MAD8!H60</f>
        <v>11715845.19111111</v>
      </c>
      <c r="F18" s="187">
        <v>0.0118701678935973</v>
      </c>
      <c r="G18" s="183">
        <f t="shared" si="1"/>
        <v>1775</v>
      </c>
      <c r="H18" s="184">
        <f t="shared" si="0"/>
        <v>277.36</v>
      </c>
      <c r="I18" s="42"/>
    </row>
    <row r="19" spans="1:9" ht="6" customHeight="1">
      <c r="A19" s="429"/>
      <c r="B19" s="430"/>
      <c r="C19" s="431"/>
      <c r="D19" s="431"/>
      <c r="E19" s="431"/>
      <c r="F19" s="431"/>
      <c r="G19" s="431"/>
      <c r="H19" s="432"/>
      <c r="I19" s="42"/>
    </row>
    <row r="20" spans="1:9" ht="27" customHeight="1">
      <c r="A20" s="429"/>
      <c r="B20" s="426" t="s">
        <v>313</v>
      </c>
      <c r="C20" s="427"/>
      <c r="D20" s="427"/>
      <c r="E20" s="428"/>
      <c r="F20" s="171"/>
      <c r="G20" s="186">
        <f>F13*G13+F14*G14+F15*G15+F16*G16+F17*G17+F18*G18</f>
        <v>2275.571725936276</v>
      </c>
      <c r="H20" s="172"/>
      <c r="I20" s="42"/>
    </row>
    <row r="21" spans="1:9" ht="15.75" customHeight="1">
      <c r="A21" s="42"/>
      <c r="B21" s="42"/>
      <c r="C21" s="42"/>
      <c r="D21" s="42"/>
      <c r="E21" s="42"/>
      <c r="F21" s="42"/>
      <c r="G21" s="43"/>
      <c r="H21" s="43"/>
      <c r="I21" s="42"/>
    </row>
    <row r="22" ht="12.75" customHeight="1" hidden="1"/>
    <row r="23" ht="12.75" customHeight="1" hidden="1"/>
    <row r="24" spans="5:8" ht="12.75" customHeight="1" hidden="1">
      <c r="E24" s="17"/>
      <c r="F24" s="17"/>
      <c r="G24" s="18"/>
      <c r="H24" s="18"/>
    </row>
    <row r="25" ht="12.75" customHeight="1" hidden="1"/>
    <row r="26" spans="5:7" ht="12.75" customHeight="1" hidden="1">
      <c r="E26" s="17"/>
      <c r="F26" s="17"/>
      <c r="G26" s="18"/>
    </row>
    <row r="27" ht="12.75" customHeight="1" hidden="1"/>
  </sheetData>
  <sheetProtection password="FFAE" sheet="1" selectLockedCells="1"/>
  <mergeCells count="5">
    <mergeCell ref="A1:H1"/>
    <mergeCell ref="B20:E20"/>
    <mergeCell ref="A2:A20"/>
    <mergeCell ref="B19:H19"/>
    <mergeCell ref="B3:H3"/>
  </mergeCells>
  <printOptions/>
  <pageMargins left="0.75" right="0.75" top="1" bottom="1" header="0.5" footer="0.5"/>
  <pageSetup fitToHeight="1" fitToWidth="1" horizontalDpi="600" verticalDpi="600" orientation="landscape" scale="91" r:id="rId1"/>
  <colBreaks count="1" manualBreakCount="1">
    <brk id="8" max="65535" man="1"/>
  </colBreaks>
</worksheet>
</file>

<file path=xl/worksheets/sheet4.xml><?xml version="1.0" encoding="utf-8"?>
<worksheet xmlns="http://schemas.openxmlformats.org/spreadsheetml/2006/main" xmlns:r="http://schemas.openxmlformats.org/officeDocument/2006/relationships">
  <sheetPr>
    <tabColor indexed="53"/>
    <pageSetUpPr fitToPage="1"/>
  </sheetPr>
  <dimension ref="A1:K124"/>
  <sheetViews>
    <sheetView zoomScale="91" zoomScaleNormal="91" zoomScalePageLayoutView="0" workbookViewId="0" topLeftCell="A1">
      <selection activeCell="E5" sqref="E5"/>
    </sheetView>
  </sheetViews>
  <sheetFormatPr defaultColWidth="9.140625" defaultRowHeight="12.75" zeroHeight="1"/>
  <cols>
    <col min="1" max="1" width="35.7109375" style="0" customWidth="1"/>
    <col min="2" max="2" width="2.7109375" style="0" customWidth="1"/>
    <col min="3" max="3" width="25.7109375" style="0" customWidth="1"/>
    <col min="4" max="4" width="6.7109375" style="0" customWidth="1"/>
    <col min="5" max="5" width="10.7109375" style="0" customWidth="1"/>
    <col min="6" max="6" width="2.57421875" style="0" customWidth="1"/>
    <col min="7" max="7" width="55.7109375" style="0" customWidth="1"/>
    <col min="8" max="8" width="10.7109375" style="0" customWidth="1"/>
    <col min="9" max="9" width="1.8515625" style="0" customWidth="1"/>
    <col min="10" max="10" width="55.7109375" style="0" customWidth="1"/>
    <col min="11" max="11" width="10.7109375" style="0" customWidth="1"/>
  </cols>
  <sheetData>
    <row r="1" spans="1:11" ht="15">
      <c r="A1" s="433" t="s">
        <v>422</v>
      </c>
      <c r="B1" s="433"/>
      <c r="C1" s="433"/>
      <c r="D1" s="433"/>
      <c r="E1" s="433"/>
      <c r="F1" s="44"/>
      <c r="G1" s="136" t="s">
        <v>423</v>
      </c>
      <c r="H1" s="136"/>
      <c r="J1" s="136" t="s">
        <v>423</v>
      </c>
      <c r="K1" s="136"/>
    </row>
    <row r="2" spans="1:11" ht="13.5" thickBot="1">
      <c r="A2" s="44"/>
      <c r="B2" s="44"/>
      <c r="C2" s="44"/>
      <c r="D2" s="44"/>
      <c r="E2" s="44"/>
      <c r="F2" s="44"/>
      <c r="G2" s="44"/>
      <c r="H2" s="44"/>
      <c r="J2" s="44"/>
      <c r="K2" s="44"/>
    </row>
    <row r="3" spans="1:11" ht="15">
      <c r="A3" s="36" t="s">
        <v>6</v>
      </c>
      <c r="B3" s="33"/>
      <c r="C3" s="104" t="s">
        <v>416</v>
      </c>
      <c r="D3" s="12"/>
      <c r="E3" s="12"/>
      <c r="F3" s="132"/>
      <c r="G3" s="104" t="s">
        <v>416</v>
      </c>
      <c r="H3" s="12"/>
      <c r="J3" s="104" t="s">
        <v>416</v>
      </c>
      <c r="K3" s="12"/>
    </row>
    <row r="4" spans="1:11" ht="13.5" thickBot="1">
      <c r="A4" s="13"/>
      <c r="B4" s="34"/>
      <c r="C4" s="14" t="s">
        <v>254</v>
      </c>
      <c r="D4" s="15" t="s">
        <v>255</v>
      </c>
      <c r="E4" s="15" t="s">
        <v>256</v>
      </c>
      <c r="F4" s="132"/>
      <c r="G4" s="14" t="s">
        <v>254</v>
      </c>
      <c r="H4" s="15" t="s">
        <v>424</v>
      </c>
      <c r="J4" s="14" t="s">
        <v>254</v>
      </c>
      <c r="K4" s="15" t="s">
        <v>424</v>
      </c>
    </row>
    <row r="5" spans="1:11" ht="12.75">
      <c r="A5" s="119" t="s">
        <v>336</v>
      </c>
      <c r="B5" s="109"/>
      <c r="C5" s="113" t="s">
        <v>357</v>
      </c>
      <c r="D5" s="122" t="s">
        <v>257</v>
      </c>
      <c r="E5" s="46">
        <v>15</v>
      </c>
      <c r="F5" s="133"/>
      <c r="G5" s="137" t="s">
        <v>371</v>
      </c>
      <c r="H5" s="149">
        <v>0.6</v>
      </c>
      <c r="J5" s="154" t="s">
        <v>380</v>
      </c>
      <c r="K5" s="149">
        <v>0.25</v>
      </c>
    </row>
    <row r="6" spans="1:11" ht="12.75">
      <c r="A6" s="120" t="s">
        <v>393</v>
      </c>
      <c r="B6" s="109"/>
      <c r="C6" s="114" t="s">
        <v>357</v>
      </c>
      <c r="D6" s="123" t="s">
        <v>257</v>
      </c>
      <c r="E6" s="47">
        <v>15</v>
      </c>
      <c r="F6" s="133"/>
      <c r="G6" s="141" t="s">
        <v>371</v>
      </c>
      <c r="H6" s="150">
        <v>0.6</v>
      </c>
      <c r="J6" s="141" t="s">
        <v>380</v>
      </c>
      <c r="K6" s="150">
        <v>0.25</v>
      </c>
    </row>
    <row r="7" spans="1:11" ht="12.75">
      <c r="A7" s="120" t="s">
        <v>395</v>
      </c>
      <c r="B7" s="109"/>
      <c r="C7" s="115" t="s">
        <v>357</v>
      </c>
      <c r="D7" s="123" t="s">
        <v>257</v>
      </c>
      <c r="E7" s="47">
        <v>15</v>
      </c>
      <c r="F7" s="133"/>
      <c r="G7" s="142" t="s">
        <v>371</v>
      </c>
      <c r="H7" s="150">
        <v>0.6</v>
      </c>
      <c r="J7" s="142" t="s">
        <v>380</v>
      </c>
      <c r="K7" s="150">
        <v>0.25</v>
      </c>
    </row>
    <row r="8" spans="1:11" ht="12.75">
      <c r="A8" s="120" t="s">
        <v>397</v>
      </c>
      <c r="B8" s="109"/>
      <c r="C8" s="116" t="s">
        <v>357</v>
      </c>
      <c r="D8" s="124" t="s">
        <v>257</v>
      </c>
      <c r="E8" s="47">
        <v>15</v>
      </c>
      <c r="F8" s="133"/>
      <c r="G8" s="143" t="s">
        <v>371</v>
      </c>
      <c r="H8" s="150">
        <v>0.6</v>
      </c>
      <c r="J8" s="143" t="s">
        <v>380</v>
      </c>
      <c r="K8" s="150">
        <v>0.25</v>
      </c>
    </row>
    <row r="9" spans="1:11" ht="12.75">
      <c r="A9" s="120" t="s">
        <v>399</v>
      </c>
      <c r="B9" s="109"/>
      <c r="C9" s="114" t="s">
        <v>357</v>
      </c>
      <c r="D9" s="125" t="s">
        <v>257</v>
      </c>
      <c r="E9" s="47">
        <v>15</v>
      </c>
      <c r="F9" s="133"/>
      <c r="G9" s="141" t="s">
        <v>371</v>
      </c>
      <c r="H9" s="150">
        <v>0.6</v>
      </c>
      <c r="J9" s="141" t="s">
        <v>380</v>
      </c>
      <c r="K9" s="150">
        <v>0.25</v>
      </c>
    </row>
    <row r="10" spans="1:11" ht="12.75">
      <c r="A10" s="120" t="s">
        <v>401</v>
      </c>
      <c r="B10" s="109"/>
      <c r="C10" s="114" t="s">
        <v>357</v>
      </c>
      <c r="D10" s="123" t="s">
        <v>257</v>
      </c>
      <c r="E10" s="47">
        <v>15</v>
      </c>
      <c r="F10" s="133"/>
      <c r="G10" s="141" t="s">
        <v>371</v>
      </c>
      <c r="H10" s="150">
        <v>0.6</v>
      </c>
      <c r="J10" s="141" t="s">
        <v>380</v>
      </c>
      <c r="K10" s="150">
        <v>0.25</v>
      </c>
    </row>
    <row r="11" spans="1:11" ht="12.75">
      <c r="A11" s="120" t="s">
        <v>403</v>
      </c>
      <c r="B11" s="109"/>
      <c r="C11" s="115" t="s">
        <v>357</v>
      </c>
      <c r="D11" s="123" t="s">
        <v>257</v>
      </c>
      <c r="E11" s="47">
        <v>15</v>
      </c>
      <c r="F11" s="133"/>
      <c r="G11" s="142" t="s">
        <v>371</v>
      </c>
      <c r="H11" s="150">
        <v>0.6</v>
      </c>
      <c r="J11" s="142" t="s">
        <v>380</v>
      </c>
      <c r="K11" s="150">
        <v>0.25</v>
      </c>
    </row>
    <row r="12" spans="1:11" ht="12.75">
      <c r="A12" s="120" t="s">
        <v>420</v>
      </c>
      <c r="B12" s="109"/>
      <c r="C12" s="114" t="s">
        <v>357</v>
      </c>
      <c r="D12" s="124" t="s">
        <v>257</v>
      </c>
      <c r="E12" s="47">
        <v>15</v>
      </c>
      <c r="F12" s="133"/>
      <c r="G12" s="141" t="s">
        <v>371</v>
      </c>
      <c r="H12" s="150">
        <v>0.6</v>
      </c>
      <c r="J12" s="141" t="s">
        <v>380</v>
      </c>
      <c r="K12" s="150">
        <v>0.25</v>
      </c>
    </row>
    <row r="13" spans="1:11" ht="12.75">
      <c r="A13" s="120" t="s">
        <v>409</v>
      </c>
      <c r="B13" s="109"/>
      <c r="C13" s="114" t="s">
        <v>357</v>
      </c>
      <c r="D13" s="125" t="s">
        <v>257</v>
      </c>
      <c r="E13" s="47">
        <v>15</v>
      </c>
      <c r="F13" s="133"/>
      <c r="G13" s="141" t="s">
        <v>371</v>
      </c>
      <c r="H13" s="150">
        <v>0.6</v>
      </c>
      <c r="J13" s="141" t="s">
        <v>380</v>
      </c>
      <c r="K13" s="150">
        <v>0.25</v>
      </c>
    </row>
    <row r="14" spans="1:11" ht="12.75">
      <c r="A14" s="120" t="s">
        <v>406</v>
      </c>
      <c r="B14" s="109"/>
      <c r="C14" s="114" t="s">
        <v>357</v>
      </c>
      <c r="D14" s="123" t="s">
        <v>257</v>
      </c>
      <c r="E14" s="47">
        <v>15</v>
      </c>
      <c r="F14" s="133"/>
      <c r="G14" s="141" t="s">
        <v>371</v>
      </c>
      <c r="H14" s="150">
        <v>0.6</v>
      </c>
      <c r="J14" s="141" t="s">
        <v>380</v>
      </c>
      <c r="K14" s="150">
        <v>0.25</v>
      </c>
    </row>
    <row r="15" spans="1:11" ht="12.75">
      <c r="A15" s="120" t="s">
        <v>408</v>
      </c>
      <c r="B15" s="109"/>
      <c r="C15" s="114" t="s">
        <v>357</v>
      </c>
      <c r="D15" s="123" t="s">
        <v>257</v>
      </c>
      <c r="E15" s="47">
        <v>15</v>
      </c>
      <c r="F15" s="133"/>
      <c r="G15" s="141" t="s">
        <v>371</v>
      </c>
      <c r="H15" s="150">
        <v>0.6</v>
      </c>
      <c r="J15" s="141" t="s">
        <v>380</v>
      </c>
      <c r="K15" s="150">
        <v>0.25</v>
      </c>
    </row>
    <row r="16" spans="1:11" ht="12.75">
      <c r="A16" s="120" t="s">
        <v>483</v>
      </c>
      <c r="B16" s="109"/>
      <c r="C16" s="115" t="s">
        <v>357</v>
      </c>
      <c r="D16" s="123" t="s">
        <v>257</v>
      </c>
      <c r="E16" s="47">
        <v>15</v>
      </c>
      <c r="F16" s="133"/>
      <c r="G16" s="142" t="s">
        <v>371</v>
      </c>
      <c r="H16" s="150">
        <v>0.6</v>
      </c>
      <c r="J16" s="142" t="s">
        <v>380</v>
      </c>
      <c r="K16" s="150">
        <v>0.25</v>
      </c>
    </row>
    <row r="17" spans="1:11" ht="12.75">
      <c r="A17" s="120" t="s">
        <v>411</v>
      </c>
      <c r="B17" s="109"/>
      <c r="C17" s="116" t="s">
        <v>357</v>
      </c>
      <c r="D17" s="124" t="s">
        <v>257</v>
      </c>
      <c r="E17" s="47">
        <v>15</v>
      </c>
      <c r="F17" s="133"/>
      <c r="G17" s="143" t="s">
        <v>371</v>
      </c>
      <c r="H17" s="150">
        <v>0.6</v>
      </c>
      <c r="J17" s="143" t="s">
        <v>380</v>
      </c>
      <c r="K17" s="150">
        <v>0.25</v>
      </c>
    </row>
    <row r="18" spans="1:11" ht="12.75">
      <c r="A18" s="120" t="s">
        <v>413</v>
      </c>
      <c r="B18" s="109"/>
      <c r="C18" s="114" t="s">
        <v>357</v>
      </c>
      <c r="D18" s="125" t="s">
        <v>257</v>
      </c>
      <c r="E18" s="47">
        <v>15</v>
      </c>
      <c r="F18" s="133"/>
      <c r="G18" s="141" t="s">
        <v>371</v>
      </c>
      <c r="H18" s="150">
        <v>0.6</v>
      </c>
      <c r="J18" s="141" t="s">
        <v>380</v>
      </c>
      <c r="K18" s="150">
        <v>0.25</v>
      </c>
    </row>
    <row r="19" spans="1:11" ht="13.5" thickBot="1">
      <c r="A19" s="121" t="s">
        <v>421</v>
      </c>
      <c r="B19" s="109"/>
      <c r="C19" s="130" t="s">
        <v>357</v>
      </c>
      <c r="D19" s="131" t="s">
        <v>257</v>
      </c>
      <c r="E19" s="49">
        <v>15</v>
      </c>
      <c r="F19" s="133"/>
      <c r="G19" s="144" t="s">
        <v>371</v>
      </c>
      <c r="H19" s="151">
        <v>0.6</v>
      </c>
      <c r="J19" s="144" t="s">
        <v>380</v>
      </c>
      <c r="K19" s="151">
        <v>0.25</v>
      </c>
    </row>
    <row r="20" spans="1:11" ht="12.75">
      <c r="A20" s="119" t="s">
        <v>336</v>
      </c>
      <c r="B20" s="110"/>
      <c r="C20" s="127" t="s">
        <v>359</v>
      </c>
      <c r="D20" s="128" t="s">
        <v>257</v>
      </c>
      <c r="E20" s="48">
        <v>10</v>
      </c>
      <c r="F20" s="134"/>
      <c r="G20" s="153" t="s">
        <v>373</v>
      </c>
      <c r="H20" s="152">
        <v>0.1</v>
      </c>
      <c r="J20" s="153" t="s">
        <v>382</v>
      </c>
      <c r="K20" s="152">
        <v>0.12</v>
      </c>
    </row>
    <row r="21" spans="1:11" ht="12.75">
      <c r="A21" s="120" t="s">
        <v>393</v>
      </c>
      <c r="B21" s="111"/>
      <c r="C21" s="114" t="s">
        <v>359</v>
      </c>
      <c r="D21" s="123" t="s">
        <v>257</v>
      </c>
      <c r="E21" s="47">
        <v>10</v>
      </c>
      <c r="F21" s="134"/>
      <c r="G21" s="141" t="s">
        <v>373</v>
      </c>
      <c r="H21" s="150">
        <v>0.1</v>
      </c>
      <c r="J21" s="141" t="s">
        <v>382</v>
      </c>
      <c r="K21" s="150">
        <v>0.12</v>
      </c>
    </row>
    <row r="22" spans="1:11" ht="12.75">
      <c r="A22" s="120" t="s">
        <v>395</v>
      </c>
      <c r="B22" s="110"/>
      <c r="C22" s="114" t="s">
        <v>359</v>
      </c>
      <c r="D22" s="123" t="s">
        <v>257</v>
      </c>
      <c r="E22" s="47">
        <v>10</v>
      </c>
      <c r="F22" s="134"/>
      <c r="G22" s="141" t="s">
        <v>373</v>
      </c>
      <c r="H22" s="150">
        <v>0.1</v>
      </c>
      <c r="J22" s="141" t="s">
        <v>382</v>
      </c>
      <c r="K22" s="150">
        <v>0.12</v>
      </c>
    </row>
    <row r="23" spans="1:11" ht="12.75">
      <c r="A23" s="120" t="s">
        <v>397</v>
      </c>
      <c r="B23" s="110"/>
      <c r="C23" s="114" t="s">
        <v>359</v>
      </c>
      <c r="D23" s="124" t="s">
        <v>257</v>
      </c>
      <c r="E23" s="47">
        <v>10</v>
      </c>
      <c r="F23" s="134"/>
      <c r="G23" s="141" t="s">
        <v>373</v>
      </c>
      <c r="H23" s="150">
        <v>0.1</v>
      </c>
      <c r="J23" s="141" t="s">
        <v>382</v>
      </c>
      <c r="K23" s="150">
        <v>0.12</v>
      </c>
    </row>
    <row r="24" spans="1:11" ht="12.75">
      <c r="A24" s="120" t="s">
        <v>399</v>
      </c>
      <c r="B24" s="112"/>
      <c r="C24" s="114" t="s">
        <v>359</v>
      </c>
      <c r="D24" s="125" t="s">
        <v>257</v>
      </c>
      <c r="E24" s="47">
        <v>10</v>
      </c>
      <c r="F24" s="134"/>
      <c r="G24" s="141" t="s">
        <v>373</v>
      </c>
      <c r="H24" s="150">
        <v>0.1</v>
      </c>
      <c r="J24" s="141" t="s">
        <v>382</v>
      </c>
      <c r="K24" s="150">
        <v>0.12</v>
      </c>
    </row>
    <row r="25" spans="1:11" ht="12.75">
      <c r="A25" s="120" t="s">
        <v>401</v>
      </c>
      <c r="B25" s="112"/>
      <c r="C25" s="114" t="s">
        <v>359</v>
      </c>
      <c r="D25" s="123" t="s">
        <v>257</v>
      </c>
      <c r="E25" s="47">
        <v>10</v>
      </c>
      <c r="F25" s="134"/>
      <c r="G25" s="141" t="s">
        <v>373</v>
      </c>
      <c r="H25" s="150">
        <v>0.1</v>
      </c>
      <c r="J25" s="141" t="s">
        <v>382</v>
      </c>
      <c r="K25" s="150">
        <v>0.12</v>
      </c>
    </row>
    <row r="26" spans="1:11" ht="12.75">
      <c r="A26" s="120" t="s">
        <v>403</v>
      </c>
      <c r="B26" s="112"/>
      <c r="C26" s="114" t="s">
        <v>359</v>
      </c>
      <c r="D26" s="123" t="s">
        <v>257</v>
      </c>
      <c r="E26" s="47">
        <v>10</v>
      </c>
      <c r="F26" s="134"/>
      <c r="G26" s="141" t="s">
        <v>373</v>
      </c>
      <c r="H26" s="150">
        <v>0.1</v>
      </c>
      <c r="J26" s="141" t="s">
        <v>382</v>
      </c>
      <c r="K26" s="150">
        <v>0.12</v>
      </c>
    </row>
    <row r="27" spans="1:11" ht="12.75">
      <c r="A27" s="120" t="s">
        <v>420</v>
      </c>
      <c r="B27" s="112"/>
      <c r="C27" s="114" t="s">
        <v>359</v>
      </c>
      <c r="D27" s="124" t="s">
        <v>257</v>
      </c>
      <c r="E27" s="47">
        <v>10</v>
      </c>
      <c r="F27" s="134"/>
      <c r="G27" s="141" t="s">
        <v>373</v>
      </c>
      <c r="H27" s="150">
        <v>0.1</v>
      </c>
      <c r="J27" s="141" t="s">
        <v>382</v>
      </c>
      <c r="K27" s="150">
        <v>0.12</v>
      </c>
    </row>
    <row r="28" spans="1:11" ht="12.75">
      <c r="A28" s="120" t="s">
        <v>409</v>
      </c>
      <c r="B28" s="112"/>
      <c r="C28" s="114" t="s">
        <v>359</v>
      </c>
      <c r="D28" s="125" t="s">
        <v>257</v>
      </c>
      <c r="E28" s="47">
        <v>10</v>
      </c>
      <c r="F28" s="134"/>
      <c r="G28" s="141" t="s">
        <v>373</v>
      </c>
      <c r="H28" s="150">
        <v>0.1</v>
      </c>
      <c r="J28" s="141" t="s">
        <v>382</v>
      </c>
      <c r="K28" s="150">
        <v>0.12</v>
      </c>
    </row>
    <row r="29" spans="1:11" ht="12.75">
      <c r="A29" s="120" t="s">
        <v>406</v>
      </c>
      <c r="B29" s="112"/>
      <c r="C29" s="114" t="s">
        <v>359</v>
      </c>
      <c r="D29" s="123" t="s">
        <v>257</v>
      </c>
      <c r="E29" s="47">
        <v>10</v>
      </c>
      <c r="F29" s="134"/>
      <c r="G29" s="141" t="s">
        <v>373</v>
      </c>
      <c r="H29" s="150">
        <v>0.1</v>
      </c>
      <c r="J29" s="141" t="s">
        <v>382</v>
      </c>
      <c r="K29" s="150">
        <v>0.12</v>
      </c>
    </row>
    <row r="30" spans="1:11" ht="12.75">
      <c r="A30" s="120" t="s">
        <v>408</v>
      </c>
      <c r="B30" s="112"/>
      <c r="C30" s="114" t="s">
        <v>359</v>
      </c>
      <c r="D30" s="123" t="s">
        <v>257</v>
      </c>
      <c r="E30" s="47">
        <v>10</v>
      </c>
      <c r="F30" s="134"/>
      <c r="G30" s="141" t="s">
        <v>373</v>
      </c>
      <c r="H30" s="150">
        <v>0.1</v>
      </c>
      <c r="J30" s="141" t="s">
        <v>382</v>
      </c>
      <c r="K30" s="150">
        <v>0.12</v>
      </c>
    </row>
    <row r="31" spans="1:11" ht="12.75">
      <c r="A31" s="120" t="s">
        <v>483</v>
      </c>
      <c r="B31" s="112"/>
      <c r="C31" s="114" t="s">
        <v>359</v>
      </c>
      <c r="D31" s="123" t="s">
        <v>257</v>
      </c>
      <c r="E31" s="47">
        <v>10</v>
      </c>
      <c r="F31" s="134"/>
      <c r="G31" s="141" t="s">
        <v>373</v>
      </c>
      <c r="H31" s="150">
        <v>0.1</v>
      </c>
      <c r="J31" s="141" t="s">
        <v>382</v>
      </c>
      <c r="K31" s="150">
        <v>0.12</v>
      </c>
    </row>
    <row r="32" spans="1:11" ht="12.75">
      <c r="A32" s="120" t="s">
        <v>411</v>
      </c>
      <c r="B32" s="112"/>
      <c r="C32" s="114" t="s">
        <v>359</v>
      </c>
      <c r="D32" s="124" t="s">
        <v>257</v>
      </c>
      <c r="E32" s="47">
        <v>10</v>
      </c>
      <c r="F32" s="134"/>
      <c r="G32" s="141" t="s">
        <v>373</v>
      </c>
      <c r="H32" s="150">
        <v>0.1</v>
      </c>
      <c r="J32" s="141" t="s">
        <v>382</v>
      </c>
      <c r="K32" s="150">
        <v>0.12</v>
      </c>
    </row>
    <row r="33" spans="1:11" ht="12.75">
      <c r="A33" s="120" t="s">
        <v>413</v>
      </c>
      <c r="B33" s="112"/>
      <c r="C33" s="114" t="s">
        <v>359</v>
      </c>
      <c r="D33" s="123" t="s">
        <v>257</v>
      </c>
      <c r="E33" s="47">
        <v>10</v>
      </c>
      <c r="F33" s="134"/>
      <c r="G33" s="141" t="s">
        <v>373</v>
      </c>
      <c r="H33" s="150">
        <v>0.1</v>
      </c>
      <c r="J33" s="141" t="s">
        <v>382</v>
      </c>
      <c r="K33" s="150">
        <v>0.12</v>
      </c>
    </row>
    <row r="34" spans="1:11" ht="13.5" thickBot="1">
      <c r="A34" s="121" t="s">
        <v>421</v>
      </c>
      <c r="B34" s="112"/>
      <c r="C34" s="130" t="s">
        <v>359</v>
      </c>
      <c r="D34" s="131" t="s">
        <v>257</v>
      </c>
      <c r="E34" s="49">
        <v>10</v>
      </c>
      <c r="F34" s="134"/>
      <c r="G34" s="144" t="s">
        <v>373</v>
      </c>
      <c r="H34" s="151">
        <v>0.1</v>
      </c>
      <c r="J34" s="144" t="s">
        <v>382</v>
      </c>
      <c r="K34" s="151">
        <v>0.12</v>
      </c>
    </row>
    <row r="35" spans="1:11" ht="12.75">
      <c r="A35" s="119" t="s">
        <v>336</v>
      </c>
      <c r="B35" s="112"/>
      <c r="C35" s="127" t="s">
        <v>360</v>
      </c>
      <c r="D35" s="128" t="s">
        <v>257</v>
      </c>
      <c r="E35" s="48">
        <v>20</v>
      </c>
      <c r="F35" s="133"/>
      <c r="G35" s="145" t="s">
        <v>374</v>
      </c>
      <c r="H35" s="152">
        <v>0</v>
      </c>
      <c r="J35" s="153" t="s">
        <v>384</v>
      </c>
      <c r="K35" s="152">
        <v>0.05</v>
      </c>
    </row>
    <row r="36" spans="1:11" ht="12.75">
      <c r="A36" s="120" t="s">
        <v>393</v>
      </c>
      <c r="B36" s="112"/>
      <c r="C36" s="117" t="s">
        <v>360</v>
      </c>
      <c r="D36" s="125" t="s">
        <v>257</v>
      </c>
      <c r="E36" s="47">
        <v>20</v>
      </c>
      <c r="F36" s="133"/>
      <c r="G36" s="141" t="s">
        <v>374</v>
      </c>
      <c r="H36" s="150">
        <v>0</v>
      </c>
      <c r="J36" s="141" t="s">
        <v>384</v>
      </c>
      <c r="K36" s="150">
        <v>0.05</v>
      </c>
    </row>
    <row r="37" spans="1:11" ht="12.75">
      <c r="A37" s="120" t="s">
        <v>395</v>
      </c>
      <c r="B37" s="112"/>
      <c r="C37" s="117" t="s">
        <v>360</v>
      </c>
      <c r="D37" s="125" t="s">
        <v>257</v>
      </c>
      <c r="E37" s="47">
        <v>20</v>
      </c>
      <c r="F37" s="133"/>
      <c r="G37" s="141" t="s">
        <v>374</v>
      </c>
      <c r="H37" s="150">
        <v>0</v>
      </c>
      <c r="J37" s="141" t="s">
        <v>384</v>
      </c>
      <c r="K37" s="150">
        <v>0.05</v>
      </c>
    </row>
    <row r="38" spans="1:11" ht="12.75">
      <c r="A38" s="120" t="s">
        <v>397</v>
      </c>
      <c r="B38" s="112"/>
      <c r="C38" s="117" t="s">
        <v>360</v>
      </c>
      <c r="D38" s="125" t="s">
        <v>257</v>
      </c>
      <c r="E38" s="47">
        <v>20</v>
      </c>
      <c r="F38" s="133"/>
      <c r="G38" s="141" t="s">
        <v>374</v>
      </c>
      <c r="H38" s="150">
        <v>0</v>
      </c>
      <c r="J38" s="141" t="s">
        <v>384</v>
      </c>
      <c r="K38" s="150">
        <v>0.05</v>
      </c>
    </row>
    <row r="39" spans="1:11" ht="12.75">
      <c r="A39" s="120" t="s">
        <v>399</v>
      </c>
      <c r="B39" s="112"/>
      <c r="C39" s="117" t="s">
        <v>360</v>
      </c>
      <c r="D39" s="124" t="s">
        <v>257</v>
      </c>
      <c r="E39" s="47">
        <v>20</v>
      </c>
      <c r="F39" s="133"/>
      <c r="G39" s="141" t="s">
        <v>374</v>
      </c>
      <c r="H39" s="150">
        <v>0</v>
      </c>
      <c r="J39" s="141" t="s">
        <v>384</v>
      </c>
      <c r="K39" s="150">
        <v>0.05</v>
      </c>
    </row>
    <row r="40" spans="1:11" ht="12.75">
      <c r="A40" s="120" t="s">
        <v>401</v>
      </c>
      <c r="B40" s="112"/>
      <c r="C40" s="117" t="s">
        <v>360</v>
      </c>
      <c r="D40" s="125" t="s">
        <v>257</v>
      </c>
      <c r="E40" s="47">
        <v>20</v>
      </c>
      <c r="F40" s="133"/>
      <c r="G40" s="141" t="s">
        <v>374</v>
      </c>
      <c r="H40" s="150">
        <v>0</v>
      </c>
      <c r="J40" s="141" t="s">
        <v>384</v>
      </c>
      <c r="K40" s="150">
        <v>0.05</v>
      </c>
    </row>
    <row r="41" spans="1:11" ht="12.75">
      <c r="A41" s="120" t="s">
        <v>403</v>
      </c>
      <c r="B41" s="112"/>
      <c r="C41" s="117" t="s">
        <v>360</v>
      </c>
      <c r="D41" s="125" t="s">
        <v>257</v>
      </c>
      <c r="E41" s="47">
        <v>20</v>
      </c>
      <c r="F41" s="133"/>
      <c r="G41" s="141" t="s">
        <v>374</v>
      </c>
      <c r="H41" s="150">
        <v>0</v>
      </c>
      <c r="J41" s="141" t="s">
        <v>384</v>
      </c>
      <c r="K41" s="150">
        <v>0.05</v>
      </c>
    </row>
    <row r="42" spans="1:11" ht="12.75">
      <c r="A42" s="120" t="s">
        <v>420</v>
      </c>
      <c r="B42" s="112"/>
      <c r="C42" s="117" t="s">
        <v>360</v>
      </c>
      <c r="D42" s="125" t="s">
        <v>257</v>
      </c>
      <c r="E42" s="47">
        <v>20</v>
      </c>
      <c r="F42" s="133"/>
      <c r="G42" s="141" t="s">
        <v>374</v>
      </c>
      <c r="H42" s="150">
        <v>0</v>
      </c>
      <c r="J42" s="141" t="s">
        <v>384</v>
      </c>
      <c r="K42" s="150">
        <v>0.05</v>
      </c>
    </row>
    <row r="43" spans="1:11" ht="12.75">
      <c r="A43" s="120" t="s">
        <v>409</v>
      </c>
      <c r="B43" s="112"/>
      <c r="C43" s="117" t="s">
        <v>360</v>
      </c>
      <c r="D43" s="125" t="s">
        <v>257</v>
      </c>
      <c r="E43" s="47">
        <v>20</v>
      </c>
      <c r="F43" s="133"/>
      <c r="G43" s="141" t="s">
        <v>374</v>
      </c>
      <c r="H43" s="150">
        <v>0</v>
      </c>
      <c r="J43" s="141" t="s">
        <v>384</v>
      </c>
      <c r="K43" s="150">
        <v>0.05</v>
      </c>
    </row>
    <row r="44" spans="1:11" ht="12.75">
      <c r="A44" s="120" t="s">
        <v>406</v>
      </c>
      <c r="B44" s="112"/>
      <c r="C44" s="117" t="s">
        <v>360</v>
      </c>
      <c r="D44" s="124" t="s">
        <v>257</v>
      </c>
      <c r="E44" s="47">
        <v>20</v>
      </c>
      <c r="F44" s="133"/>
      <c r="G44" s="141" t="s">
        <v>374</v>
      </c>
      <c r="H44" s="150">
        <v>0</v>
      </c>
      <c r="J44" s="141" t="s">
        <v>384</v>
      </c>
      <c r="K44" s="150">
        <v>0.05</v>
      </c>
    </row>
    <row r="45" spans="1:11" ht="12.75">
      <c r="A45" s="120" t="s">
        <v>408</v>
      </c>
      <c r="B45" s="112"/>
      <c r="C45" s="117" t="s">
        <v>360</v>
      </c>
      <c r="D45" s="124" t="s">
        <v>257</v>
      </c>
      <c r="E45" s="47">
        <v>20</v>
      </c>
      <c r="F45" s="133"/>
      <c r="G45" s="141" t="s">
        <v>374</v>
      </c>
      <c r="H45" s="150">
        <v>0</v>
      </c>
      <c r="J45" s="141" t="s">
        <v>384</v>
      </c>
      <c r="K45" s="150">
        <v>0.05</v>
      </c>
    </row>
    <row r="46" spans="1:11" ht="12.75">
      <c r="A46" s="120" t="s">
        <v>483</v>
      </c>
      <c r="B46" s="112"/>
      <c r="C46" s="117" t="s">
        <v>360</v>
      </c>
      <c r="D46" s="125" t="s">
        <v>257</v>
      </c>
      <c r="E46" s="47">
        <v>20</v>
      </c>
      <c r="F46" s="133"/>
      <c r="G46" s="141" t="s">
        <v>374</v>
      </c>
      <c r="H46" s="150">
        <v>0</v>
      </c>
      <c r="J46" s="141" t="s">
        <v>384</v>
      </c>
      <c r="K46" s="150">
        <v>0.05</v>
      </c>
    </row>
    <row r="47" spans="1:11" ht="12.75">
      <c r="A47" s="120" t="s">
        <v>411</v>
      </c>
      <c r="B47" s="112"/>
      <c r="C47" s="117" t="s">
        <v>360</v>
      </c>
      <c r="D47" s="125" t="s">
        <v>257</v>
      </c>
      <c r="E47" s="47">
        <v>20</v>
      </c>
      <c r="F47" s="133"/>
      <c r="G47" s="141" t="s">
        <v>374</v>
      </c>
      <c r="H47" s="150">
        <v>0</v>
      </c>
      <c r="J47" s="141" t="s">
        <v>384</v>
      </c>
      <c r="K47" s="150">
        <v>0.05</v>
      </c>
    </row>
    <row r="48" spans="1:11" ht="12.75">
      <c r="A48" s="120" t="s">
        <v>413</v>
      </c>
      <c r="B48" s="112"/>
      <c r="C48" s="117" t="s">
        <v>360</v>
      </c>
      <c r="D48" s="125" t="s">
        <v>257</v>
      </c>
      <c r="E48" s="47">
        <v>20</v>
      </c>
      <c r="F48" s="133"/>
      <c r="G48" s="141" t="s">
        <v>374</v>
      </c>
      <c r="H48" s="150">
        <v>0.1</v>
      </c>
      <c r="J48" s="141" t="s">
        <v>384</v>
      </c>
      <c r="K48" s="150">
        <v>0.05</v>
      </c>
    </row>
    <row r="49" spans="1:11" ht="13.5" thickBot="1">
      <c r="A49" s="121" t="s">
        <v>421</v>
      </c>
      <c r="B49" s="35"/>
      <c r="C49" s="118" t="s">
        <v>360</v>
      </c>
      <c r="D49" s="129" t="s">
        <v>257</v>
      </c>
      <c r="E49" s="49">
        <v>20</v>
      </c>
      <c r="F49" s="133"/>
      <c r="G49" s="144" t="s">
        <v>374</v>
      </c>
      <c r="H49" s="151">
        <v>0.1</v>
      </c>
      <c r="J49" s="144" t="s">
        <v>384</v>
      </c>
      <c r="K49" s="151">
        <v>0.05</v>
      </c>
    </row>
    <row r="50" spans="1:11" ht="12.75">
      <c r="A50" s="119" t="s">
        <v>336</v>
      </c>
      <c r="B50" s="112"/>
      <c r="C50" s="127" t="s">
        <v>361</v>
      </c>
      <c r="D50" s="128" t="s">
        <v>417</v>
      </c>
      <c r="E50" s="48">
        <v>20</v>
      </c>
      <c r="F50" s="135"/>
      <c r="G50" s="138" t="s">
        <v>268</v>
      </c>
      <c r="H50" s="152">
        <v>0</v>
      </c>
      <c r="J50" s="148" t="s">
        <v>386</v>
      </c>
      <c r="K50" s="152">
        <v>0.15</v>
      </c>
    </row>
    <row r="51" spans="1:11" ht="12.75">
      <c r="A51" s="120" t="s">
        <v>393</v>
      </c>
      <c r="B51" s="112"/>
      <c r="C51" s="117" t="s">
        <v>361</v>
      </c>
      <c r="D51" s="124" t="s">
        <v>417</v>
      </c>
      <c r="E51" s="47">
        <v>20</v>
      </c>
      <c r="F51" s="133"/>
      <c r="G51" s="146" t="s">
        <v>268</v>
      </c>
      <c r="H51" s="150">
        <v>0</v>
      </c>
      <c r="J51" s="146" t="s">
        <v>386</v>
      </c>
      <c r="K51" s="150">
        <v>0.15</v>
      </c>
    </row>
    <row r="52" spans="1:11" ht="12.75">
      <c r="A52" s="120" t="s">
        <v>395</v>
      </c>
      <c r="B52" s="112"/>
      <c r="C52" s="117" t="s">
        <v>361</v>
      </c>
      <c r="D52" s="124" t="s">
        <v>417</v>
      </c>
      <c r="E52" s="47">
        <v>20</v>
      </c>
      <c r="F52" s="133"/>
      <c r="G52" s="146" t="s">
        <v>268</v>
      </c>
      <c r="H52" s="150">
        <v>0</v>
      </c>
      <c r="J52" s="146" t="s">
        <v>386</v>
      </c>
      <c r="K52" s="150">
        <v>0.15</v>
      </c>
    </row>
    <row r="53" spans="1:11" ht="12.75">
      <c r="A53" s="120" t="s">
        <v>397</v>
      </c>
      <c r="B53" s="110"/>
      <c r="C53" s="117" t="s">
        <v>361</v>
      </c>
      <c r="D53" s="125" t="s">
        <v>417</v>
      </c>
      <c r="E53" s="47">
        <v>20</v>
      </c>
      <c r="F53" s="134"/>
      <c r="G53" s="146" t="s">
        <v>268</v>
      </c>
      <c r="H53" s="150">
        <v>0</v>
      </c>
      <c r="J53" s="146" t="s">
        <v>386</v>
      </c>
      <c r="K53" s="150">
        <v>0.15</v>
      </c>
    </row>
    <row r="54" spans="1:11" ht="12.75">
      <c r="A54" s="120" t="s">
        <v>399</v>
      </c>
      <c r="B54" s="110"/>
      <c r="C54" s="117" t="s">
        <v>361</v>
      </c>
      <c r="D54" s="125" t="s">
        <v>417</v>
      </c>
      <c r="E54" s="47">
        <v>20</v>
      </c>
      <c r="F54" s="134"/>
      <c r="G54" s="146" t="s">
        <v>268</v>
      </c>
      <c r="H54" s="150">
        <v>0</v>
      </c>
      <c r="J54" s="146" t="s">
        <v>386</v>
      </c>
      <c r="K54" s="150">
        <v>0.15</v>
      </c>
    </row>
    <row r="55" spans="1:11" ht="12.75">
      <c r="A55" s="120" t="s">
        <v>401</v>
      </c>
      <c r="B55" s="110"/>
      <c r="C55" s="117" t="s">
        <v>361</v>
      </c>
      <c r="D55" s="125" t="s">
        <v>417</v>
      </c>
      <c r="E55" s="47">
        <v>20</v>
      </c>
      <c r="F55" s="134"/>
      <c r="G55" s="146" t="s">
        <v>268</v>
      </c>
      <c r="H55" s="150">
        <v>0</v>
      </c>
      <c r="J55" s="146" t="s">
        <v>386</v>
      </c>
      <c r="K55" s="150">
        <v>0.15</v>
      </c>
    </row>
    <row r="56" spans="1:11" ht="12.75">
      <c r="A56" s="120" t="s">
        <v>403</v>
      </c>
      <c r="B56" s="110"/>
      <c r="C56" s="117" t="s">
        <v>361</v>
      </c>
      <c r="D56" s="125" t="s">
        <v>417</v>
      </c>
      <c r="E56" s="47">
        <v>20</v>
      </c>
      <c r="F56" s="134"/>
      <c r="G56" s="146" t="s">
        <v>268</v>
      </c>
      <c r="H56" s="150">
        <v>0</v>
      </c>
      <c r="J56" s="146" t="s">
        <v>386</v>
      </c>
      <c r="K56" s="150">
        <v>0.15</v>
      </c>
    </row>
    <row r="57" spans="1:11" ht="12.75">
      <c r="A57" s="120" t="s">
        <v>420</v>
      </c>
      <c r="B57" s="110"/>
      <c r="C57" s="117" t="s">
        <v>361</v>
      </c>
      <c r="D57" s="125" t="s">
        <v>417</v>
      </c>
      <c r="E57" s="47">
        <v>20</v>
      </c>
      <c r="F57" s="134"/>
      <c r="G57" s="146" t="s">
        <v>268</v>
      </c>
      <c r="H57" s="150">
        <v>0</v>
      </c>
      <c r="J57" s="146" t="s">
        <v>386</v>
      </c>
      <c r="K57" s="150">
        <v>0.15</v>
      </c>
    </row>
    <row r="58" spans="1:11" ht="12.75">
      <c r="A58" s="120" t="s">
        <v>409</v>
      </c>
      <c r="B58" s="110"/>
      <c r="C58" s="117" t="s">
        <v>361</v>
      </c>
      <c r="D58" s="125" t="s">
        <v>417</v>
      </c>
      <c r="E58" s="47">
        <v>20</v>
      </c>
      <c r="F58" s="134"/>
      <c r="G58" s="146" t="s">
        <v>268</v>
      </c>
      <c r="H58" s="150">
        <v>0</v>
      </c>
      <c r="J58" s="146" t="s">
        <v>386</v>
      </c>
      <c r="K58" s="150">
        <v>0.15</v>
      </c>
    </row>
    <row r="59" spans="1:11" ht="12.75">
      <c r="A59" s="120" t="s">
        <v>406</v>
      </c>
      <c r="B59" s="110"/>
      <c r="C59" s="117" t="s">
        <v>361</v>
      </c>
      <c r="D59" s="125" t="s">
        <v>417</v>
      </c>
      <c r="E59" s="47">
        <v>20</v>
      </c>
      <c r="F59" s="134"/>
      <c r="G59" s="146" t="s">
        <v>268</v>
      </c>
      <c r="H59" s="150">
        <v>0</v>
      </c>
      <c r="J59" s="146" t="s">
        <v>386</v>
      </c>
      <c r="K59" s="150">
        <v>0.15</v>
      </c>
    </row>
    <row r="60" spans="1:11" ht="12.75">
      <c r="A60" s="120" t="s">
        <v>408</v>
      </c>
      <c r="B60" s="110"/>
      <c r="C60" s="117" t="s">
        <v>361</v>
      </c>
      <c r="D60" s="125" t="s">
        <v>417</v>
      </c>
      <c r="E60" s="47">
        <v>20</v>
      </c>
      <c r="F60" s="134"/>
      <c r="G60" s="146" t="s">
        <v>268</v>
      </c>
      <c r="H60" s="150">
        <v>0</v>
      </c>
      <c r="J60" s="146" t="s">
        <v>386</v>
      </c>
      <c r="K60" s="150">
        <v>0.15</v>
      </c>
    </row>
    <row r="61" spans="1:11" ht="12.75">
      <c r="A61" s="120" t="s">
        <v>483</v>
      </c>
      <c r="B61" s="110"/>
      <c r="C61" s="117" t="s">
        <v>361</v>
      </c>
      <c r="D61" s="125" t="s">
        <v>417</v>
      </c>
      <c r="E61" s="47">
        <v>20</v>
      </c>
      <c r="F61" s="134"/>
      <c r="G61" s="146" t="s">
        <v>268</v>
      </c>
      <c r="H61" s="150">
        <v>0</v>
      </c>
      <c r="J61" s="146" t="s">
        <v>386</v>
      </c>
      <c r="K61" s="150">
        <v>0.15</v>
      </c>
    </row>
    <row r="62" spans="1:11" ht="12.75">
      <c r="A62" s="120" t="s">
        <v>411</v>
      </c>
      <c r="B62" s="110"/>
      <c r="C62" s="117" t="s">
        <v>361</v>
      </c>
      <c r="D62" s="125" t="s">
        <v>417</v>
      </c>
      <c r="E62" s="47">
        <v>20</v>
      </c>
      <c r="F62" s="134"/>
      <c r="G62" s="146" t="s">
        <v>268</v>
      </c>
      <c r="H62" s="150">
        <v>0</v>
      </c>
      <c r="J62" s="146" t="s">
        <v>386</v>
      </c>
      <c r="K62" s="150">
        <v>0.15</v>
      </c>
    </row>
    <row r="63" spans="1:11" ht="12.75">
      <c r="A63" s="120" t="s">
        <v>413</v>
      </c>
      <c r="B63" s="110"/>
      <c r="C63" s="117" t="s">
        <v>361</v>
      </c>
      <c r="D63" s="124" t="s">
        <v>417</v>
      </c>
      <c r="E63" s="47">
        <v>20</v>
      </c>
      <c r="F63" s="134"/>
      <c r="G63" s="146" t="s">
        <v>268</v>
      </c>
      <c r="H63" s="150">
        <v>0.05</v>
      </c>
      <c r="J63" s="146" t="s">
        <v>386</v>
      </c>
      <c r="K63" s="150">
        <v>0.15</v>
      </c>
    </row>
    <row r="64" spans="1:11" ht="13.5" thickBot="1">
      <c r="A64" s="121" t="s">
        <v>421</v>
      </c>
      <c r="B64" s="110"/>
      <c r="C64" s="118" t="s">
        <v>361</v>
      </c>
      <c r="D64" s="129" t="s">
        <v>417</v>
      </c>
      <c r="E64" s="49">
        <v>20</v>
      </c>
      <c r="F64" s="134"/>
      <c r="G64" s="147" t="s">
        <v>268</v>
      </c>
      <c r="H64" s="151">
        <v>0.05</v>
      </c>
      <c r="J64" s="147" t="s">
        <v>386</v>
      </c>
      <c r="K64" s="151">
        <v>0.15</v>
      </c>
    </row>
    <row r="65" spans="1:11" ht="12.75">
      <c r="A65" s="119" t="s">
        <v>336</v>
      </c>
      <c r="B65" s="112"/>
      <c r="C65" s="127" t="s">
        <v>363</v>
      </c>
      <c r="D65" s="128" t="s">
        <v>418</v>
      </c>
      <c r="E65" s="48">
        <v>6</v>
      </c>
      <c r="F65" s="133"/>
      <c r="G65" s="148" t="s">
        <v>375</v>
      </c>
      <c r="H65" s="152">
        <v>0.06</v>
      </c>
      <c r="J65" s="148" t="s">
        <v>387</v>
      </c>
      <c r="K65" s="152">
        <v>0</v>
      </c>
    </row>
    <row r="66" spans="1:11" ht="12.75">
      <c r="A66" s="120" t="s">
        <v>393</v>
      </c>
      <c r="B66" s="112"/>
      <c r="C66" s="117" t="s">
        <v>363</v>
      </c>
      <c r="D66" s="124" t="s">
        <v>418</v>
      </c>
      <c r="E66" s="47">
        <v>6</v>
      </c>
      <c r="F66" s="133"/>
      <c r="G66" s="146" t="s">
        <v>375</v>
      </c>
      <c r="H66" s="150">
        <v>0.06</v>
      </c>
      <c r="J66" s="146" t="s">
        <v>387</v>
      </c>
      <c r="K66" s="150">
        <v>0</v>
      </c>
    </row>
    <row r="67" spans="1:11" ht="12.75">
      <c r="A67" s="120" t="s">
        <v>395</v>
      </c>
      <c r="B67" s="112"/>
      <c r="C67" s="117" t="s">
        <v>363</v>
      </c>
      <c r="D67" s="124" t="s">
        <v>418</v>
      </c>
      <c r="E67" s="47">
        <v>6</v>
      </c>
      <c r="F67" s="133"/>
      <c r="G67" s="146" t="s">
        <v>375</v>
      </c>
      <c r="H67" s="150">
        <v>0.06</v>
      </c>
      <c r="J67" s="146" t="s">
        <v>387</v>
      </c>
      <c r="K67" s="150">
        <v>0</v>
      </c>
    </row>
    <row r="68" spans="1:11" ht="12.75">
      <c r="A68" s="120" t="s">
        <v>397</v>
      </c>
      <c r="B68" s="112"/>
      <c r="C68" s="117" t="s">
        <v>363</v>
      </c>
      <c r="D68" s="124" t="s">
        <v>418</v>
      </c>
      <c r="E68" s="47">
        <v>6</v>
      </c>
      <c r="F68" s="133"/>
      <c r="G68" s="146" t="s">
        <v>375</v>
      </c>
      <c r="H68" s="150">
        <v>0.06</v>
      </c>
      <c r="J68" s="146" t="s">
        <v>387</v>
      </c>
      <c r="K68" s="150">
        <v>0</v>
      </c>
    </row>
    <row r="69" spans="1:11" ht="12.75">
      <c r="A69" s="120" t="s">
        <v>399</v>
      </c>
      <c r="B69" s="112"/>
      <c r="C69" s="117" t="s">
        <v>363</v>
      </c>
      <c r="D69" s="124" t="s">
        <v>418</v>
      </c>
      <c r="E69" s="47">
        <v>6</v>
      </c>
      <c r="F69" s="133"/>
      <c r="G69" s="146" t="s">
        <v>375</v>
      </c>
      <c r="H69" s="150">
        <v>0.06</v>
      </c>
      <c r="J69" s="146" t="s">
        <v>387</v>
      </c>
      <c r="K69" s="150">
        <v>0</v>
      </c>
    </row>
    <row r="70" spans="1:11" ht="12.75">
      <c r="A70" s="120" t="s">
        <v>401</v>
      </c>
      <c r="B70" s="112"/>
      <c r="C70" s="117" t="s">
        <v>363</v>
      </c>
      <c r="D70" s="124" t="s">
        <v>418</v>
      </c>
      <c r="E70" s="47">
        <v>6</v>
      </c>
      <c r="F70" s="133"/>
      <c r="G70" s="146" t="s">
        <v>375</v>
      </c>
      <c r="H70" s="150">
        <v>0.06</v>
      </c>
      <c r="J70" s="146" t="s">
        <v>387</v>
      </c>
      <c r="K70" s="150">
        <v>0</v>
      </c>
    </row>
    <row r="71" spans="1:11" ht="12.75">
      <c r="A71" s="120" t="s">
        <v>403</v>
      </c>
      <c r="B71" s="112"/>
      <c r="C71" s="117" t="s">
        <v>363</v>
      </c>
      <c r="D71" s="124" t="s">
        <v>418</v>
      </c>
      <c r="E71" s="47">
        <v>6</v>
      </c>
      <c r="F71" s="133"/>
      <c r="G71" s="146" t="s">
        <v>375</v>
      </c>
      <c r="H71" s="150">
        <v>0.06</v>
      </c>
      <c r="J71" s="146" t="s">
        <v>387</v>
      </c>
      <c r="K71" s="150">
        <v>0</v>
      </c>
    </row>
    <row r="72" spans="1:11" ht="12.75">
      <c r="A72" s="120" t="s">
        <v>420</v>
      </c>
      <c r="B72" s="112"/>
      <c r="C72" s="117" t="s">
        <v>363</v>
      </c>
      <c r="D72" s="124" t="s">
        <v>418</v>
      </c>
      <c r="E72" s="47">
        <v>6</v>
      </c>
      <c r="F72" s="133"/>
      <c r="G72" s="146" t="s">
        <v>375</v>
      </c>
      <c r="H72" s="150">
        <v>0.06</v>
      </c>
      <c r="J72" s="146" t="s">
        <v>387</v>
      </c>
      <c r="K72" s="150">
        <v>0</v>
      </c>
    </row>
    <row r="73" spans="1:11" ht="12.75">
      <c r="A73" s="120" t="s">
        <v>409</v>
      </c>
      <c r="B73" s="112"/>
      <c r="C73" s="117" t="s">
        <v>363</v>
      </c>
      <c r="D73" s="124" t="s">
        <v>418</v>
      </c>
      <c r="E73" s="47">
        <v>6</v>
      </c>
      <c r="F73" s="133"/>
      <c r="G73" s="146" t="s">
        <v>375</v>
      </c>
      <c r="H73" s="150">
        <v>0.06</v>
      </c>
      <c r="J73" s="146" t="s">
        <v>387</v>
      </c>
      <c r="K73" s="150">
        <v>0</v>
      </c>
    </row>
    <row r="74" spans="1:11" ht="12.75">
      <c r="A74" s="120" t="s">
        <v>406</v>
      </c>
      <c r="B74" s="112"/>
      <c r="C74" s="117" t="s">
        <v>363</v>
      </c>
      <c r="D74" s="124" t="s">
        <v>418</v>
      </c>
      <c r="E74" s="47">
        <v>6</v>
      </c>
      <c r="F74" s="133"/>
      <c r="G74" s="146" t="s">
        <v>375</v>
      </c>
      <c r="H74" s="150">
        <v>0.06</v>
      </c>
      <c r="J74" s="146" t="s">
        <v>387</v>
      </c>
      <c r="K74" s="150">
        <v>0</v>
      </c>
    </row>
    <row r="75" spans="1:11" ht="12.75">
      <c r="A75" s="120" t="s">
        <v>408</v>
      </c>
      <c r="B75" s="112"/>
      <c r="C75" s="117" t="s">
        <v>363</v>
      </c>
      <c r="D75" s="124" t="s">
        <v>418</v>
      </c>
      <c r="E75" s="47">
        <v>6</v>
      </c>
      <c r="F75" s="133"/>
      <c r="G75" s="146" t="s">
        <v>375</v>
      </c>
      <c r="H75" s="150">
        <v>0.06</v>
      </c>
      <c r="J75" s="146" t="s">
        <v>387</v>
      </c>
      <c r="K75" s="150">
        <v>0</v>
      </c>
    </row>
    <row r="76" spans="1:11" ht="12.75">
      <c r="A76" s="120" t="s">
        <v>483</v>
      </c>
      <c r="B76" s="112"/>
      <c r="C76" s="117" t="s">
        <v>363</v>
      </c>
      <c r="D76" s="124" t="s">
        <v>418</v>
      </c>
      <c r="E76" s="47">
        <v>6</v>
      </c>
      <c r="F76" s="133"/>
      <c r="G76" s="146" t="s">
        <v>375</v>
      </c>
      <c r="H76" s="150">
        <v>0.06</v>
      </c>
      <c r="J76" s="146" t="s">
        <v>387</v>
      </c>
      <c r="K76" s="150">
        <v>0</v>
      </c>
    </row>
    <row r="77" spans="1:11" ht="12.75">
      <c r="A77" s="120" t="s">
        <v>411</v>
      </c>
      <c r="B77" s="112"/>
      <c r="C77" s="117" t="s">
        <v>363</v>
      </c>
      <c r="D77" s="124" t="s">
        <v>418</v>
      </c>
      <c r="E77" s="47">
        <v>6</v>
      </c>
      <c r="F77" s="133"/>
      <c r="G77" s="146" t="s">
        <v>375</v>
      </c>
      <c r="H77" s="150">
        <v>0.06</v>
      </c>
      <c r="J77" s="146" t="s">
        <v>387</v>
      </c>
      <c r="K77" s="150">
        <v>0</v>
      </c>
    </row>
    <row r="78" spans="1:11" ht="12.75">
      <c r="A78" s="120" t="s">
        <v>413</v>
      </c>
      <c r="B78" s="112"/>
      <c r="C78" s="117" t="s">
        <v>363</v>
      </c>
      <c r="D78" s="124" t="s">
        <v>418</v>
      </c>
      <c r="E78" s="47">
        <v>6</v>
      </c>
      <c r="F78" s="133"/>
      <c r="G78" s="146" t="s">
        <v>375</v>
      </c>
      <c r="H78" s="150">
        <v>0.06</v>
      </c>
      <c r="J78" s="146" t="s">
        <v>387</v>
      </c>
      <c r="K78" s="150">
        <v>0</v>
      </c>
    </row>
    <row r="79" spans="1:11" ht="13.5" thickBot="1">
      <c r="A79" s="121" t="s">
        <v>421</v>
      </c>
      <c r="B79" s="112"/>
      <c r="C79" s="118" t="s">
        <v>363</v>
      </c>
      <c r="D79" s="126" t="s">
        <v>418</v>
      </c>
      <c r="E79" s="49">
        <v>6</v>
      </c>
      <c r="F79" s="133"/>
      <c r="G79" s="147" t="s">
        <v>375</v>
      </c>
      <c r="H79" s="151">
        <v>0.06</v>
      </c>
      <c r="J79" s="147" t="s">
        <v>387</v>
      </c>
      <c r="K79" s="151">
        <v>0</v>
      </c>
    </row>
    <row r="80" spans="1:11" ht="12.75">
      <c r="A80" s="119" t="s">
        <v>336</v>
      </c>
      <c r="B80" s="112"/>
      <c r="C80" s="127" t="s">
        <v>365</v>
      </c>
      <c r="D80" s="128" t="s">
        <v>257</v>
      </c>
      <c r="E80" s="48">
        <v>400</v>
      </c>
      <c r="F80" s="133"/>
      <c r="G80" s="148" t="s">
        <v>376</v>
      </c>
      <c r="H80" s="152">
        <v>0.04</v>
      </c>
      <c r="J80" s="155"/>
      <c r="K80" s="139"/>
    </row>
    <row r="81" spans="1:11" ht="12.75">
      <c r="A81" s="120" t="s">
        <v>393</v>
      </c>
      <c r="B81" s="112"/>
      <c r="C81" s="117" t="s">
        <v>365</v>
      </c>
      <c r="D81" s="124" t="s">
        <v>257</v>
      </c>
      <c r="E81" s="47">
        <v>400</v>
      </c>
      <c r="F81" s="133"/>
      <c r="G81" s="146" t="s">
        <v>376</v>
      </c>
      <c r="H81" s="150">
        <v>0.04</v>
      </c>
      <c r="J81" s="16"/>
      <c r="K81" s="140"/>
    </row>
    <row r="82" spans="1:11" ht="12.75">
      <c r="A82" s="120" t="s">
        <v>395</v>
      </c>
      <c r="B82" s="112"/>
      <c r="C82" s="117" t="s">
        <v>365</v>
      </c>
      <c r="D82" s="124" t="s">
        <v>257</v>
      </c>
      <c r="E82" s="47">
        <v>400</v>
      </c>
      <c r="F82" s="133"/>
      <c r="G82" s="146" t="s">
        <v>376</v>
      </c>
      <c r="H82" s="150">
        <v>0.04</v>
      </c>
      <c r="J82" s="16"/>
      <c r="K82" s="140"/>
    </row>
    <row r="83" spans="1:11" ht="12.75">
      <c r="A83" s="120" t="s">
        <v>397</v>
      </c>
      <c r="B83" s="112"/>
      <c r="C83" s="117" t="s">
        <v>365</v>
      </c>
      <c r="D83" s="124" t="s">
        <v>257</v>
      </c>
      <c r="E83" s="47">
        <v>400</v>
      </c>
      <c r="F83" s="133"/>
      <c r="G83" s="146" t="s">
        <v>376</v>
      </c>
      <c r="H83" s="150">
        <v>0.04</v>
      </c>
      <c r="J83" s="16"/>
      <c r="K83" s="140"/>
    </row>
    <row r="84" spans="1:11" ht="12.75">
      <c r="A84" s="120" t="s">
        <v>399</v>
      </c>
      <c r="B84" s="112"/>
      <c r="C84" s="117" t="s">
        <v>365</v>
      </c>
      <c r="D84" s="124" t="s">
        <v>257</v>
      </c>
      <c r="E84" s="47">
        <v>400</v>
      </c>
      <c r="F84" s="133"/>
      <c r="G84" s="146" t="s">
        <v>376</v>
      </c>
      <c r="H84" s="150">
        <v>0.04</v>
      </c>
      <c r="J84" s="16"/>
      <c r="K84" s="140"/>
    </row>
    <row r="85" spans="1:11" ht="12.75">
      <c r="A85" s="120" t="s">
        <v>401</v>
      </c>
      <c r="B85" s="112"/>
      <c r="C85" s="117" t="s">
        <v>365</v>
      </c>
      <c r="D85" s="124" t="s">
        <v>257</v>
      </c>
      <c r="E85" s="47">
        <v>400</v>
      </c>
      <c r="F85" s="133"/>
      <c r="G85" s="146" t="s">
        <v>376</v>
      </c>
      <c r="H85" s="150">
        <v>0.04</v>
      </c>
      <c r="J85" s="16"/>
      <c r="K85" s="140"/>
    </row>
    <row r="86" spans="1:11" ht="12.75">
      <c r="A86" s="120" t="s">
        <v>403</v>
      </c>
      <c r="B86" s="112"/>
      <c r="C86" s="117" t="s">
        <v>365</v>
      </c>
      <c r="D86" s="124" t="s">
        <v>257</v>
      </c>
      <c r="E86" s="47">
        <v>400</v>
      </c>
      <c r="F86" s="133"/>
      <c r="G86" s="146" t="s">
        <v>376</v>
      </c>
      <c r="H86" s="150">
        <v>0.04</v>
      </c>
      <c r="J86" s="16"/>
      <c r="K86" s="140"/>
    </row>
    <row r="87" spans="1:11" ht="12.75">
      <c r="A87" s="120" t="s">
        <v>420</v>
      </c>
      <c r="B87" s="112"/>
      <c r="C87" s="117" t="s">
        <v>365</v>
      </c>
      <c r="D87" s="124" t="s">
        <v>257</v>
      </c>
      <c r="E87" s="47">
        <v>400</v>
      </c>
      <c r="F87" s="133"/>
      <c r="G87" s="146" t="s">
        <v>376</v>
      </c>
      <c r="H87" s="150">
        <v>0.04</v>
      </c>
      <c r="J87" s="16"/>
      <c r="K87" s="140"/>
    </row>
    <row r="88" spans="1:11" ht="12.75">
      <c r="A88" s="120" t="s">
        <v>409</v>
      </c>
      <c r="B88" s="112"/>
      <c r="C88" s="117" t="s">
        <v>365</v>
      </c>
      <c r="D88" s="124" t="s">
        <v>257</v>
      </c>
      <c r="E88" s="47">
        <v>400</v>
      </c>
      <c r="F88" s="133"/>
      <c r="G88" s="146" t="s">
        <v>376</v>
      </c>
      <c r="H88" s="150">
        <v>0.04</v>
      </c>
      <c r="J88" s="16"/>
      <c r="K88" s="140"/>
    </row>
    <row r="89" spans="1:11" ht="12.75">
      <c r="A89" s="120" t="s">
        <v>406</v>
      </c>
      <c r="B89" s="112"/>
      <c r="C89" s="117" t="s">
        <v>365</v>
      </c>
      <c r="D89" s="124" t="s">
        <v>257</v>
      </c>
      <c r="E89" s="47">
        <v>400</v>
      </c>
      <c r="F89" s="133"/>
      <c r="G89" s="146" t="s">
        <v>376</v>
      </c>
      <c r="H89" s="150">
        <v>0.04</v>
      </c>
      <c r="J89" s="16"/>
      <c r="K89" s="140"/>
    </row>
    <row r="90" spans="1:11" ht="12.75">
      <c r="A90" s="120" t="s">
        <v>408</v>
      </c>
      <c r="B90" s="112"/>
      <c r="C90" s="117" t="s">
        <v>365</v>
      </c>
      <c r="D90" s="124" t="s">
        <v>257</v>
      </c>
      <c r="E90" s="47">
        <v>400</v>
      </c>
      <c r="F90" s="133"/>
      <c r="G90" s="146" t="s">
        <v>376</v>
      </c>
      <c r="H90" s="150">
        <v>0.04</v>
      </c>
      <c r="J90" s="16"/>
      <c r="K90" s="140"/>
    </row>
    <row r="91" spans="1:11" ht="12.75">
      <c r="A91" s="120" t="s">
        <v>483</v>
      </c>
      <c r="B91" s="112"/>
      <c r="C91" s="117" t="s">
        <v>365</v>
      </c>
      <c r="D91" s="124" t="s">
        <v>257</v>
      </c>
      <c r="E91" s="47">
        <v>400</v>
      </c>
      <c r="F91" s="133"/>
      <c r="G91" s="146" t="s">
        <v>376</v>
      </c>
      <c r="H91" s="150">
        <v>0.04</v>
      </c>
      <c r="J91" s="16"/>
      <c r="K91" s="140"/>
    </row>
    <row r="92" spans="1:11" ht="12.75">
      <c r="A92" s="120" t="s">
        <v>411</v>
      </c>
      <c r="B92" s="112"/>
      <c r="C92" s="117" t="s">
        <v>365</v>
      </c>
      <c r="D92" s="124" t="s">
        <v>257</v>
      </c>
      <c r="E92" s="47">
        <v>400</v>
      </c>
      <c r="F92" s="133"/>
      <c r="G92" s="146" t="s">
        <v>376</v>
      </c>
      <c r="H92" s="150">
        <v>0.04</v>
      </c>
      <c r="J92" s="16"/>
      <c r="K92" s="140"/>
    </row>
    <row r="93" spans="1:11" ht="12.75">
      <c r="A93" s="120" t="s">
        <v>413</v>
      </c>
      <c r="B93" s="112"/>
      <c r="C93" s="117" t="s">
        <v>365</v>
      </c>
      <c r="D93" s="124" t="s">
        <v>257</v>
      </c>
      <c r="E93" s="47">
        <v>400</v>
      </c>
      <c r="F93" s="133"/>
      <c r="G93" s="146" t="s">
        <v>376</v>
      </c>
      <c r="H93" s="150">
        <v>0.04</v>
      </c>
      <c r="J93" s="16"/>
      <c r="K93" s="140"/>
    </row>
    <row r="94" spans="1:11" ht="13.5" thickBot="1">
      <c r="A94" s="121" t="s">
        <v>421</v>
      </c>
      <c r="B94" s="112"/>
      <c r="C94" s="118" t="s">
        <v>365</v>
      </c>
      <c r="D94" s="126" t="s">
        <v>257</v>
      </c>
      <c r="E94" s="49">
        <v>400</v>
      </c>
      <c r="F94" s="133"/>
      <c r="G94" s="147" t="s">
        <v>376</v>
      </c>
      <c r="H94" s="151">
        <v>0.04</v>
      </c>
      <c r="J94" s="16"/>
      <c r="K94" s="140"/>
    </row>
    <row r="95" spans="1:8" ht="12.75">
      <c r="A95" s="119" t="s">
        <v>336</v>
      </c>
      <c r="B95" s="16"/>
      <c r="C95" s="127" t="s">
        <v>366</v>
      </c>
      <c r="D95" s="128" t="s">
        <v>419</v>
      </c>
      <c r="E95" s="48">
        <v>80</v>
      </c>
      <c r="F95" s="133"/>
      <c r="G95" s="16"/>
      <c r="H95" s="140"/>
    </row>
    <row r="96" spans="1:8" ht="12.75">
      <c r="A96" s="120" t="s">
        <v>393</v>
      </c>
      <c r="B96" s="16"/>
      <c r="C96" s="117" t="s">
        <v>366</v>
      </c>
      <c r="D96" s="124" t="s">
        <v>419</v>
      </c>
      <c r="E96" s="47">
        <v>80</v>
      </c>
      <c r="F96" s="133"/>
      <c r="G96" s="16"/>
      <c r="H96" s="140"/>
    </row>
    <row r="97" spans="1:8" ht="12.75">
      <c r="A97" s="120" t="s">
        <v>395</v>
      </c>
      <c r="B97" s="16"/>
      <c r="C97" s="117" t="s">
        <v>366</v>
      </c>
      <c r="D97" s="124" t="s">
        <v>419</v>
      </c>
      <c r="E97" s="47">
        <v>80</v>
      </c>
      <c r="F97" s="133"/>
      <c r="G97" s="16"/>
      <c r="H97" s="140"/>
    </row>
    <row r="98" spans="1:8" ht="12.75">
      <c r="A98" s="120" t="s">
        <v>397</v>
      </c>
      <c r="B98" s="16"/>
      <c r="C98" s="117" t="s">
        <v>366</v>
      </c>
      <c r="D98" s="124" t="s">
        <v>419</v>
      </c>
      <c r="E98" s="47">
        <v>80</v>
      </c>
      <c r="F98" s="133"/>
      <c r="G98" s="16"/>
      <c r="H98" s="140"/>
    </row>
    <row r="99" spans="1:8" ht="12.75">
      <c r="A99" s="120" t="s">
        <v>399</v>
      </c>
      <c r="B99" s="16"/>
      <c r="C99" s="117" t="s">
        <v>366</v>
      </c>
      <c r="D99" s="124" t="s">
        <v>419</v>
      </c>
      <c r="E99" s="47">
        <v>80</v>
      </c>
      <c r="F99" s="133"/>
      <c r="G99" s="16"/>
      <c r="H99" s="140"/>
    </row>
    <row r="100" spans="1:8" ht="12.75">
      <c r="A100" s="120" t="s">
        <v>401</v>
      </c>
      <c r="B100" s="16"/>
      <c r="C100" s="117" t="s">
        <v>366</v>
      </c>
      <c r="D100" s="124" t="s">
        <v>419</v>
      </c>
      <c r="E100" s="47">
        <v>80</v>
      </c>
      <c r="F100" s="133"/>
      <c r="G100" s="16"/>
      <c r="H100" s="140"/>
    </row>
    <row r="101" spans="1:8" ht="12.75">
      <c r="A101" s="120" t="s">
        <v>403</v>
      </c>
      <c r="B101" s="16"/>
      <c r="C101" s="117" t="s">
        <v>366</v>
      </c>
      <c r="D101" s="124" t="s">
        <v>419</v>
      </c>
      <c r="E101" s="47">
        <v>80</v>
      </c>
      <c r="F101" s="133"/>
      <c r="G101" s="16"/>
      <c r="H101" s="140"/>
    </row>
    <row r="102" spans="1:8" ht="12.75">
      <c r="A102" s="120" t="s">
        <v>420</v>
      </c>
      <c r="B102" s="16"/>
      <c r="C102" s="117" t="s">
        <v>366</v>
      </c>
      <c r="D102" s="124" t="s">
        <v>419</v>
      </c>
      <c r="E102" s="47">
        <v>80</v>
      </c>
      <c r="F102" s="133"/>
      <c r="G102" s="16"/>
      <c r="H102" s="140"/>
    </row>
    <row r="103" spans="1:8" ht="12.75">
      <c r="A103" s="120" t="s">
        <v>409</v>
      </c>
      <c r="B103" s="16"/>
      <c r="C103" s="117" t="s">
        <v>366</v>
      </c>
      <c r="D103" s="124" t="s">
        <v>419</v>
      </c>
      <c r="E103" s="47">
        <v>80</v>
      </c>
      <c r="F103" s="133"/>
      <c r="G103" s="16"/>
      <c r="H103" s="140"/>
    </row>
    <row r="104" spans="1:8" ht="12.75">
      <c r="A104" s="120" t="s">
        <v>406</v>
      </c>
      <c r="B104" s="16"/>
      <c r="C104" s="117" t="s">
        <v>366</v>
      </c>
      <c r="D104" s="124" t="s">
        <v>419</v>
      </c>
      <c r="E104" s="47">
        <v>80</v>
      </c>
      <c r="F104" s="133"/>
      <c r="G104" s="16"/>
      <c r="H104" s="140"/>
    </row>
    <row r="105" spans="1:8" ht="12.75">
      <c r="A105" s="120" t="s">
        <v>408</v>
      </c>
      <c r="B105" s="16"/>
      <c r="C105" s="117" t="s">
        <v>366</v>
      </c>
      <c r="D105" s="124" t="s">
        <v>419</v>
      </c>
      <c r="E105" s="47">
        <v>80</v>
      </c>
      <c r="F105" s="133"/>
      <c r="G105" s="16"/>
      <c r="H105" s="140"/>
    </row>
    <row r="106" spans="1:8" ht="12.75">
      <c r="A106" s="120" t="s">
        <v>483</v>
      </c>
      <c r="B106" s="16"/>
      <c r="C106" s="117" t="s">
        <v>366</v>
      </c>
      <c r="D106" s="124" t="s">
        <v>419</v>
      </c>
      <c r="E106" s="47">
        <v>80</v>
      </c>
      <c r="F106" s="133"/>
      <c r="G106" s="16"/>
      <c r="H106" s="140"/>
    </row>
    <row r="107" spans="1:8" ht="12.75">
      <c r="A107" s="120" t="s">
        <v>411</v>
      </c>
      <c r="B107" s="16"/>
      <c r="C107" s="117" t="s">
        <v>366</v>
      </c>
      <c r="D107" s="124" t="s">
        <v>419</v>
      </c>
      <c r="E107" s="47">
        <v>80</v>
      </c>
      <c r="F107" s="133"/>
      <c r="G107" s="16"/>
      <c r="H107" s="140"/>
    </row>
    <row r="108" spans="1:8" ht="12.75">
      <c r="A108" s="120" t="s">
        <v>413</v>
      </c>
      <c r="B108" s="32"/>
      <c r="C108" s="117" t="s">
        <v>366</v>
      </c>
      <c r="D108" s="124" t="s">
        <v>419</v>
      </c>
      <c r="E108" s="47">
        <v>80</v>
      </c>
      <c r="F108" s="133"/>
      <c r="G108" s="16"/>
      <c r="H108" s="140"/>
    </row>
    <row r="109" spans="1:8" ht="13.5" thickBot="1">
      <c r="A109" s="121" t="s">
        <v>421</v>
      </c>
      <c r="C109" s="118" t="s">
        <v>366</v>
      </c>
      <c r="D109" s="126" t="s">
        <v>419</v>
      </c>
      <c r="E109" s="49">
        <v>80</v>
      </c>
      <c r="F109" s="133"/>
      <c r="G109" s="16"/>
      <c r="H109" s="140"/>
    </row>
    <row r="110" spans="1:8" ht="12.75">
      <c r="A110" s="119" t="s">
        <v>336</v>
      </c>
      <c r="B110" s="16"/>
      <c r="C110" s="127" t="s">
        <v>368</v>
      </c>
      <c r="D110" s="128" t="s">
        <v>257</v>
      </c>
      <c r="E110" s="48">
        <v>15</v>
      </c>
      <c r="F110" s="133"/>
      <c r="G110" s="16"/>
      <c r="H110" s="140"/>
    </row>
    <row r="111" spans="1:8" ht="12.75">
      <c r="A111" s="120" t="s">
        <v>393</v>
      </c>
      <c r="B111" s="16"/>
      <c r="C111" s="117" t="s">
        <v>368</v>
      </c>
      <c r="D111" s="124" t="s">
        <v>257</v>
      </c>
      <c r="E111" s="47">
        <v>15</v>
      </c>
      <c r="F111" s="133"/>
      <c r="G111" s="16"/>
      <c r="H111" s="140"/>
    </row>
    <row r="112" spans="1:8" ht="12.75">
      <c r="A112" s="120" t="s">
        <v>395</v>
      </c>
      <c r="B112" s="16"/>
      <c r="C112" s="117" t="s">
        <v>368</v>
      </c>
      <c r="D112" s="124" t="s">
        <v>257</v>
      </c>
      <c r="E112" s="47">
        <v>15</v>
      </c>
      <c r="F112" s="133"/>
      <c r="G112" s="16"/>
      <c r="H112" s="140"/>
    </row>
    <row r="113" spans="1:8" ht="12.75">
      <c r="A113" s="120" t="s">
        <v>397</v>
      </c>
      <c r="B113" s="16"/>
      <c r="C113" s="117" t="s">
        <v>368</v>
      </c>
      <c r="D113" s="124" t="s">
        <v>257</v>
      </c>
      <c r="E113" s="47">
        <v>15</v>
      </c>
      <c r="F113" s="133"/>
      <c r="G113" s="16"/>
      <c r="H113" s="140"/>
    </row>
    <row r="114" spans="1:8" ht="12.75">
      <c r="A114" s="120" t="s">
        <v>399</v>
      </c>
      <c r="B114" s="16"/>
      <c r="C114" s="117" t="s">
        <v>368</v>
      </c>
      <c r="D114" s="124" t="s">
        <v>257</v>
      </c>
      <c r="E114" s="47">
        <v>15</v>
      </c>
      <c r="F114" s="133"/>
      <c r="G114" s="16"/>
      <c r="H114" s="140"/>
    </row>
    <row r="115" spans="1:8" ht="12.75">
      <c r="A115" s="120" t="s">
        <v>401</v>
      </c>
      <c r="B115" s="16"/>
      <c r="C115" s="117" t="s">
        <v>368</v>
      </c>
      <c r="D115" s="124" t="s">
        <v>257</v>
      </c>
      <c r="E115" s="47">
        <v>15</v>
      </c>
      <c r="F115" s="133"/>
      <c r="G115" s="16"/>
      <c r="H115" s="140"/>
    </row>
    <row r="116" spans="1:8" ht="12.75">
      <c r="A116" s="120" t="s">
        <v>403</v>
      </c>
      <c r="B116" s="16"/>
      <c r="C116" s="117" t="s">
        <v>368</v>
      </c>
      <c r="D116" s="124" t="s">
        <v>257</v>
      </c>
      <c r="E116" s="47">
        <v>15</v>
      </c>
      <c r="F116" s="133"/>
      <c r="G116" s="16"/>
      <c r="H116" s="140"/>
    </row>
    <row r="117" spans="1:8" ht="12.75">
      <c r="A117" s="120" t="s">
        <v>420</v>
      </c>
      <c r="B117" s="16"/>
      <c r="C117" s="117" t="s">
        <v>368</v>
      </c>
      <c r="D117" s="124" t="s">
        <v>257</v>
      </c>
      <c r="E117" s="47">
        <v>15</v>
      </c>
      <c r="F117" s="133"/>
      <c r="G117" s="16"/>
      <c r="H117" s="140"/>
    </row>
    <row r="118" spans="1:8" ht="12.75">
      <c r="A118" s="120" t="s">
        <v>409</v>
      </c>
      <c r="B118" s="16"/>
      <c r="C118" s="117" t="s">
        <v>368</v>
      </c>
      <c r="D118" s="124" t="s">
        <v>257</v>
      </c>
      <c r="E118" s="47">
        <v>15</v>
      </c>
      <c r="F118" s="133"/>
      <c r="G118" s="16"/>
      <c r="H118" s="140"/>
    </row>
    <row r="119" spans="1:8" ht="12.75">
      <c r="A119" s="120" t="s">
        <v>406</v>
      </c>
      <c r="B119" s="16"/>
      <c r="C119" s="117" t="s">
        <v>368</v>
      </c>
      <c r="D119" s="124" t="s">
        <v>257</v>
      </c>
      <c r="E119" s="47">
        <v>15</v>
      </c>
      <c r="F119" s="133"/>
      <c r="G119" s="16"/>
      <c r="H119" s="140"/>
    </row>
    <row r="120" spans="1:8" ht="12.75">
      <c r="A120" s="120" t="s">
        <v>408</v>
      </c>
      <c r="B120" s="16"/>
      <c r="C120" s="117" t="s">
        <v>368</v>
      </c>
      <c r="D120" s="124" t="s">
        <v>257</v>
      </c>
      <c r="E120" s="47">
        <v>15</v>
      </c>
      <c r="F120" s="133"/>
      <c r="G120" s="16"/>
      <c r="H120" s="140"/>
    </row>
    <row r="121" spans="1:8" ht="12.75">
      <c r="A121" s="120" t="s">
        <v>483</v>
      </c>
      <c r="B121" s="16"/>
      <c r="C121" s="117" t="s">
        <v>368</v>
      </c>
      <c r="D121" s="124" t="s">
        <v>257</v>
      </c>
      <c r="E121" s="47">
        <v>15</v>
      </c>
      <c r="F121" s="133"/>
      <c r="G121" s="16"/>
      <c r="H121" s="140"/>
    </row>
    <row r="122" spans="1:8" ht="12.75">
      <c r="A122" s="120" t="s">
        <v>411</v>
      </c>
      <c r="B122" s="16"/>
      <c r="C122" s="117" t="s">
        <v>368</v>
      </c>
      <c r="D122" s="124" t="s">
        <v>257</v>
      </c>
      <c r="E122" s="47">
        <v>15</v>
      </c>
      <c r="F122" s="133"/>
      <c r="G122" s="16"/>
      <c r="H122" s="140"/>
    </row>
    <row r="123" spans="1:8" ht="12.75">
      <c r="A123" s="120" t="s">
        <v>413</v>
      </c>
      <c r="B123" s="32"/>
      <c r="C123" s="117" t="s">
        <v>368</v>
      </c>
      <c r="D123" s="124" t="s">
        <v>257</v>
      </c>
      <c r="E123" s="47">
        <v>15</v>
      </c>
      <c r="F123" s="133"/>
      <c r="G123" s="16"/>
      <c r="H123" s="140"/>
    </row>
    <row r="124" spans="1:8" ht="13.5" thickBot="1">
      <c r="A124" s="121" t="s">
        <v>421</v>
      </c>
      <c r="C124" s="118" t="s">
        <v>368</v>
      </c>
      <c r="D124" s="126" t="s">
        <v>257</v>
      </c>
      <c r="E124" s="49">
        <v>15</v>
      </c>
      <c r="F124" s="133"/>
      <c r="G124" s="16"/>
      <c r="H124" s="140"/>
    </row>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row r="277" ht="12.75"/>
    <row r="278" ht="12.75"/>
    <row r="279" ht="12.75"/>
    <row r="280" ht="12.75"/>
    <row r="281" ht="12.75"/>
  </sheetData>
  <sheetProtection password="FFAE" sheet="1" selectLockedCells="1"/>
  <mergeCells count="1">
    <mergeCell ref="A1:E1"/>
  </mergeCells>
  <printOptions/>
  <pageMargins left="0.75" right="0.75" top="1" bottom="1" header="0.5" footer="0.5"/>
  <pageSetup fitToHeight="1" fitToWidth="1" horizontalDpi="600" verticalDpi="600" orientation="landscape" scale="30" r:id="rId1"/>
</worksheet>
</file>

<file path=xl/worksheets/sheet5.xml><?xml version="1.0" encoding="utf-8"?>
<worksheet xmlns="http://schemas.openxmlformats.org/spreadsheetml/2006/main" xmlns:r="http://schemas.openxmlformats.org/officeDocument/2006/relationships">
  <sheetPr>
    <pageSetUpPr fitToPage="1"/>
  </sheetPr>
  <dimension ref="A1:H60"/>
  <sheetViews>
    <sheetView view="pageBreakPreview" zoomScaleSheetLayoutView="100" zoomScalePageLayoutView="0" workbookViewId="0" topLeftCell="A1">
      <selection activeCell="B6" sqref="B6"/>
    </sheetView>
  </sheetViews>
  <sheetFormatPr defaultColWidth="9.140625" defaultRowHeight="12.75"/>
  <cols>
    <col min="1" max="1" width="6.57421875" style="0" customWidth="1"/>
    <col min="2" max="2" width="24.7109375" style="0" customWidth="1"/>
    <col min="3" max="3" width="18.7109375" style="0" customWidth="1"/>
    <col min="4" max="4" width="13.8515625" style="0" customWidth="1"/>
    <col min="5" max="5" width="8.7109375" style="0" customWidth="1"/>
    <col min="6" max="6" width="5.8515625" style="0" customWidth="1"/>
    <col min="7" max="7" width="8.7109375" style="0" customWidth="1"/>
    <col min="8" max="8" width="12.57421875" style="0" customWidth="1"/>
    <col min="9" max="9" width="3.7109375" style="0" customWidth="1"/>
  </cols>
  <sheetData>
    <row r="1" spans="1:8" ht="17.25">
      <c r="A1" s="65" t="s">
        <v>333</v>
      </c>
      <c r="H1" s="66">
        <v>41102</v>
      </c>
    </row>
    <row r="2" ht="13.5">
      <c r="A2" s="67" t="s">
        <v>415</v>
      </c>
    </row>
    <row r="3" ht="13.5">
      <c r="A3" s="67" t="s">
        <v>258</v>
      </c>
    </row>
    <row r="5" spans="1:8" ht="12.75">
      <c r="A5" s="68" t="s">
        <v>259</v>
      </c>
      <c r="B5" s="45"/>
      <c r="C5" s="45"/>
      <c r="D5" s="69" t="s">
        <v>260</v>
      </c>
      <c r="E5" s="45"/>
      <c r="F5" s="69"/>
      <c r="G5" s="69" t="s">
        <v>334</v>
      </c>
      <c r="H5" s="68" t="s">
        <v>335</v>
      </c>
    </row>
    <row r="6" spans="1:2" ht="12.75">
      <c r="A6" s="70" t="s">
        <v>261</v>
      </c>
      <c r="B6" s="71" t="s">
        <v>336</v>
      </c>
    </row>
    <row r="7" spans="1:2" ht="12.75">
      <c r="A7" s="70" t="s">
        <v>262</v>
      </c>
      <c r="B7" s="71" t="s">
        <v>459</v>
      </c>
    </row>
    <row r="8" spans="2:3" ht="12.75">
      <c r="B8" s="72" t="s">
        <v>337</v>
      </c>
      <c r="C8" s="73" t="s">
        <v>38</v>
      </c>
    </row>
    <row r="9" spans="2:3" ht="12.75">
      <c r="B9" s="72" t="s">
        <v>338</v>
      </c>
      <c r="C9" s="73" t="s">
        <v>339</v>
      </c>
    </row>
    <row r="10" spans="2:3" ht="12.75">
      <c r="B10" s="72" t="s">
        <v>340</v>
      </c>
      <c r="C10" s="73" t="s">
        <v>341</v>
      </c>
    </row>
    <row r="11" spans="2:3" ht="12.75">
      <c r="B11" s="72" t="s">
        <v>342</v>
      </c>
      <c r="C11" s="74">
        <v>5280</v>
      </c>
    </row>
    <row r="12" spans="2:3" ht="12.75">
      <c r="B12" s="72" t="s">
        <v>343</v>
      </c>
      <c r="C12" s="74">
        <v>40</v>
      </c>
    </row>
    <row r="13" spans="2:3" ht="12.75">
      <c r="B13" s="72" t="s">
        <v>344</v>
      </c>
      <c r="C13" s="75">
        <v>1</v>
      </c>
    </row>
    <row r="14" spans="2:3" ht="12.75">
      <c r="B14" s="72" t="s">
        <v>345</v>
      </c>
      <c r="C14" s="76">
        <f>C11*C12*C13/9</f>
        <v>23466.666666666668</v>
      </c>
    </row>
    <row r="15" spans="2:3" ht="12.75">
      <c r="B15" s="72" t="s">
        <v>346</v>
      </c>
      <c r="C15" s="74">
        <v>10</v>
      </c>
    </row>
    <row r="16" spans="2:3" ht="12.75">
      <c r="B16" s="72" t="s">
        <v>347</v>
      </c>
      <c r="C16" s="75">
        <v>0</v>
      </c>
    </row>
    <row r="17" spans="2:3" ht="12.75">
      <c r="B17" s="72" t="s">
        <v>348</v>
      </c>
      <c r="C17" s="77">
        <v>0</v>
      </c>
    </row>
    <row r="18" spans="2:3" ht="12.75">
      <c r="B18" s="72" t="s">
        <v>349</v>
      </c>
      <c r="C18" s="76">
        <f>C14*C17</f>
        <v>0</v>
      </c>
    </row>
    <row r="19" spans="2:3" ht="12.75">
      <c r="B19" s="72" t="s">
        <v>350</v>
      </c>
      <c r="C19" s="74">
        <v>5</v>
      </c>
    </row>
    <row r="20" spans="2:3" ht="12.75">
      <c r="B20" s="72" t="s">
        <v>351</v>
      </c>
      <c r="C20" s="75">
        <v>2</v>
      </c>
    </row>
    <row r="22" spans="1:8" ht="12.75">
      <c r="A22" s="68" t="s">
        <v>263</v>
      </c>
      <c r="B22" s="45"/>
      <c r="C22" s="45"/>
      <c r="D22" s="45"/>
      <c r="E22" s="69"/>
      <c r="F22" s="69"/>
      <c r="G22" s="69"/>
      <c r="H22" s="68"/>
    </row>
    <row r="23" spans="1:8" ht="12.75">
      <c r="A23" s="78" t="s">
        <v>352</v>
      </c>
      <c r="B23" s="78" t="s">
        <v>353</v>
      </c>
      <c r="C23" s="79" t="s">
        <v>354</v>
      </c>
      <c r="D23" s="78"/>
      <c r="E23" s="79" t="s">
        <v>264</v>
      </c>
      <c r="F23" s="79" t="s">
        <v>255</v>
      </c>
      <c r="G23" s="79" t="s">
        <v>355</v>
      </c>
      <c r="H23" s="79" t="s">
        <v>356</v>
      </c>
    </row>
    <row r="24" spans="2:8" ht="12.75">
      <c r="B24" t="s">
        <v>357</v>
      </c>
      <c r="C24" s="80">
        <f>C29+C30+C31</f>
        <v>12.5</v>
      </c>
      <c r="E24" s="81">
        <f>((C13*C11*(C12+C13*6))/9+C18)*C24/36</f>
        <v>9370.370370370372</v>
      </c>
      <c r="F24" s="82" t="s">
        <v>358</v>
      </c>
      <c r="G24" s="83">
        <f>VLOOKUP($B$6,PayItems!A5:$E$19,5,FALSE)</f>
        <v>15</v>
      </c>
      <c r="H24" s="84">
        <f aca="true" t="shared" si="0" ref="H24:H31">G24*E24</f>
        <v>140555.5555555556</v>
      </c>
    </row>
    <row r="25" spans="2:8" ht="12.75">
      <c r="B25" t="s">
        <v>359</v>
      </c>
      <c r="C25" s="75">
        <v>6</v>
      </c>
      <c r="E25" s="81">
        <f>C11*(C15*2+C16)*C25/(9*36)</f>
        <v>1955.5555555555557</v>
      </c>
      <c r="F25" s="82" t="s">
        <v>358</v>
      </c>
      <c r="G25" s="83">
        <f>VLOOKUP($B$6,PayItems!$A$20:$E$34,5,FALSE)</f>
        <v>10</v>
      </c>
      <c r="H25" s="84">
        <f t="shared" si="0"/>
        <v>19555.555555555555</v>
      </c>
    </row>
    <row r="26" spans="2:8" ht="12.75">
      <c r="B26" t="s">
        <v>360</v>
      </c>
      <c r="C26" s="75">
        <v>12</v>
      </c>
      <c r="E26" s="81">
        <f>C13*C11*(C12+6)*C26/(12*36)</f>
        <v>6746.666666666667</v>
      </c>
      <c r="F26" s="82" t="s">
        <v>358</v>
      </c>
      <c r="G26" s="83">
        <f>VLOOKUP($B$6,PayItems!$A$35:$E$49,5,FALSE)</f>
        <v>20</v>
      </c>
      <c r="H26" s="84">
        <f t="shared" si="0"/>
        <v>134933.33333333334</v>
      </c>
    </row>
    <row r="27" spans="2:8" ht="12.75">
      <c r="B27" t="s">
        <v>361</v>
      </c>
      <c r="C27" s="85"/>
      <c r="E27" s="81">
        <f>2*C13*C11</f>
        <v>10560</v>
      </c>
      <c r="F27" s="82" t="s">
        <v>362</v>
      </c>
      <c r="G27" s="83">
        <f>VLOOKUP($B$6,PayItems!$A$50:$E$64,5,FALSE)</f>
        <v>20</v>
      </c>
      <c r="H27" s="84">
        <f t="shared" si="0"/>
        <v>211200</v>
      </c>
    </row>
    <row r="28" spans="2:8" ht="12.75">
      <c r="B28" t="s">
        <v>363</v>
      </c>
      <c r="C28" s="85"/>
      <c r="E28" s="81">
        <f>C11*C20*C19</f>
        <v>52800</v>
      </c>
      <c r="F28" s="82" t="s">
        <v>364</v>
      </c>
      <c r="G28" s="83">
        <f>VLOOKUP($B$6,PayItems!$A$65:$E$79,5,FALSE)</f>
        <v>6</v>
      </c>
      <c r="H28" s="84">
        <f t="shared" si="0"/>
        <v>316800</v>
      </c>
    </row>
    <row r="29" spans="2:8" ht="12.75">
      <c r="B29" t="s">
        <v>365</v>
      </c>
      <c r="C29" s="75">
        <v>0</v>
      </c>
      <c r="E29" s="86">
        <f>((C13*C11*C12)/9+C18)*C29/36</f>
        <v>0</v>
      </c>
      <c r="F29" s="82" t="s">
        <v>358</v>
      </c>
      <c r="G29" s="83">
        <f>VLOOKUP($B$6,PayItems!$A$80:$E$94,5,FALSE)</f>
        <v>400</v>
      </c>
      <c r="H29" s="84">
        <f t="shared" si="0"/>
        <v>0</v>
      </c>
    </row>
    <row r="30" spans="2:8" ht="12.75">
      <c r="B30" t="s">
        <v>366</v>
      </c>
      <c r="C30" s="75">
        <v>2.5</v>
      </c>
      <c r="E30" s="81">
        <f>2*((C13*C11*(C12-3))/9+C18)*C30/36</f>
        <v>3014.8148148148152</v>
      </c>
      <c r="F30" s="82" t="s">
        <v>367</v>
      </c>
      <c r="G30" s="83">
        <f>VLOOKUP($B$6,PayItems!$A$95:$E$109,5,FALSE)</f>
        <v>80</v>
      </c>
      <c r="H30" s="84">
        <f t="shared" si="0"/>
        <v>241185.18518518523</v>
      </c>
    </row>
    <row r="31" spans="1:8" ht="12.75">
      <c r="A31" s="87"/>
      <c r="B31" s="87" t="s">
        <v>368</v>
      </c>
      <c r="C31" s="75">
        <v>10</v>
      </c>
      <c r="D31" s="87"/>
      <c r="E31" s="88">
        <f>((C13*C11*(C12+6))/9+C18)*C31/36</f>
        <v>7496.2962962962965</v>
      </c>
      <c r="F31" s="89" t="s">
        <v>358</v>
      </c>
      <c r="G31" s="90">
        <f>VLOOKUP($B$6,PayItems!$A$110:$E$124,5,FALSE)</f>
        <v>15</v>
      </c>
      <c r="H31" s="91">
        <f t="shared" si="0"/>
        <v>112444.44444444445</v>
      </c>
    </row>
    <row r="32" spans="7:8" ht="12.75">
      <c r="G32" s="92" t="s">
        <v>369</v>
      </c>
      <c r="H32" s="93">
        <f>SUM(H24:H31)</f>
        <v>1176674.0740740742</v>
      </c>
    </row>
    <row r="34" spans="1:8" ht="12.75">
      <c r="A34" s="68" t="s">
        <v>370</v>
      </c>
      <c r="B34" s="45"/>
      <c r="C34" s="45"/>
      <c r="D34" s="45"/>
      <c r="E34" s="69"/>
      <c r="F34" s="69"/>
      <c r="G34" s="69"/>
      <c r="H34" s="68"/>
    </row>
    <row r="35" spans="2:8" ht="12.75">
      <c r="B35" s="78" t="s">
        <v>353</v>
      </c>
      <c r="D35" s="78" t="s">
        <v>266</v>
      </c>
      <c r="G35" s="79" t="s">
        <v>267</v>
      </c>
      <c r="H35" s="79" t="s">
        <v>265</v>
      </c>
    </row>
    <row r="36" spans="2:8" ht="12.75">
      <c r="B36" t="s">
        <v>371</v>
      </c>
      <c r="D36" t="s">
        <v>372</v>
      </c>
      <c r="G36" s="94">
        <f>VLOOKUP($B$6,PayItems!$A$5:$H$19,8,FALSE)</f>
        <v>0.6</v>
      </c>
      <c r="H36" s="95">
        <f aca="true" t="shared" si="1" ref="H36:H41">H$32*G36</f>
        <v>706004.4444444445</v>
      </c>
    </row>
    <row r="37" spans="2:8" ht="12.75">
      <c r="B37" s="2" t="s">
        <v>373</v>
      </c>
      <c r="G37" s="94">
        <f>VLOOKUP($B$6,PayItems!$A$20:$H$34,8,FALSE)</f>
        <v>0.1</v>
      </c>
      <c r="H37" s="95">
        <f t="shared" si="1"/>
        <v>117667.40740740742</v>
      </c>
    </row>
    <row r="38" spans="2:8" ht="12.75">
      <c r="B38" t="s">
        <v>374</v>
      </c>
      <c r="D38" s="96"/>
      <c r="G38" s="94">
        <v>0.03</v>
      </c>
      <c r="H38" s="95">
        <f t="shared" si="1"/>
        <v>35300.222222222226</v>
      </c>
    </row>
    <row r="39" spans="2:8" ht="12.75">
      <c r="B39" t="s">
        <v>268</v>
      </c>
      <c r="G39" s="94">
        <f>VLOOKUP($B$6,PayItems!$A$50:$H$64,8,FALSE)</f>
        <v>0</v>
      </c>
      <c r="H39" s="95">
        <f t="shared" si="1"/>
        <v>0</v>
      </c>
    </row>
    <row r="40" spans="2:8" ht="12.75">
      <c r="B40" t="s">
        <v>375</v>
      </c>
      <c r="G40" s="94">
        <f>VLOOKUP($B$6,PayItems!$A$65:$H$79,8,FALSE)</f>
        <v>0.06</v>
      </c>
      <c r="H40" s="95">
        <f t="shared" si="1"/>
        <v>70600.44444444445</v>
      </c>
    </row>
    <row r="41" spans="1:8" ht="12.75">
      <c r="A41" s="87"/>
      <c r="B41" s="87" t="s">
        <v>376</v>
      </c>
      <c r="C41" s="87"/>
      <c r="D41" s="87"/>
      <c r="E41" s="87"/>
      <c r="F41" s="87"/>
      <c r="G41" s="97">
        <f>VLOOKUP($B$6,PayItems!$A$80:$H$94,8,FALSE)</f>
        <v>0.04</v>
      </c>
      <c r="H41" s="98">
        <f t="shared" si="1"/>
        <v>47066.96296296297</v>
      </c>
    </row>
    <row r="42" spans="7:8" ht="12.75">
      <c r="G42" s="92" t="s">
        <v>377</v>
      </c>
      <c r="H42" s="93">
        <f>SUM(H36:H41)</f>
        <v>976639.4814814816</v>
      </c>
    </row>
    <row r="43" spans="1:8" ht="13.5" thickBot="1">
      <c r="A43" s="99"/>
      <c r="B43" s="99"/>
      <c r="C43" s="99"/>
      <c r="D43" s="99"/>
      <c r="E43" s="99"/>
      <c r="F43" s="99"/>
      <c r="G43" s="99"/>
      <c r="H43" s="99"/>
    </row>
    <row r="44" spans="7:8" ht="12.75">
      <c r="G44" s="100" t="s">
        <v>378</v>
      </c>
      <c r="H44" s="101">
        <f>H32+H42</f>
        <v>2153313.555555556</v>
      </c>
    </row>
    <row r="46" spans="1:8" ht="12.75">
      <c r="A46" s="68" t="s">
        <v>379</v>
      </c>
      <c r="B46" s="45"/>
      <c r="C46" s="45"/>
      <c r="D46" s="45"/>
      <c r="E46" s="69"/>
      <c r="F46" s="69"/>
      <c r="G46" s="69"/>
      <c r="H46" s="68"/>
    </row>
    <row r="47" spans="2:8" ht="12.75">
      <c r="B47" s="78" t="s">
        <v>353</v>
      </c>
      <c r="D47" s="78" t="s">
        <v>266</v>
      </c>
      <c r="G47" s="79" t="s">
        <v>267</v>
      </c>
      <c r="H47" s="79" t="s">
        <v>265</v>
      </c>
    </row>
    <row r="48" spans="2:8" ht="12.75">
      <c r="B48" t="s">
        <v>380</v>
      </c>
      <c r="D48" t="s">
        <v>381</v>
      </c>
      <c r="G48" s="94">
        <f>VLOOKUP($B$6,PayItems!A5:$K$19,11,FALSE)</f>
        <v>0.25</v>
      </c>
      <c r="H48" s="95">
        <f>H$44*G48</f>
        <v>538328.388888889</v>
      </c>
    </row>
    <row r="49" spans="2:8" ht="12.75">
      <c r="B49" t="s">
        <v>382</v>
      </c>
      <c r="D49" t="s">
        <v>383</v>
      </c>
      <c r="G49" s="94">
        <f>VLOOKUP($B$6,PayItems!$A$20:$K$34,11,FALSE)</f>
        <v>0.12</v>
      </c>
      <c r="H49" s="95">
        <f>H$44*G49</f>
        <v>258397.6266666667</v>
      </c>
    </row>
    <row r="50" spans="2:8" ht="12.75">
      <c r="B50" t="s">
        <v>384</v>
      </c>
      <c r="D50" t="s">
        <v>385</v>
      </c>
      <c r="G50" s="94">
        <f>VLOOKUP($B$6,PayItems!$A$35:$K$49,11,FALSE)</f>
        <v>0.05</v>
      </c>
      <c r="H50" s="95">
        <f>H$44*G50</f>
        <v>107665.6777777778</v>
      </c>
    </row>
    <row r="51" spans="2:8" ht="12.75">
      <c r="B51" t="s">
        <v>386</v>
      </c>
      <c r="G51" s="94">
        <f>VLOOKUP($B$6,PayItems!$A$50:$K$64,11,FALSE)</f>
        <v>0.15</v>
      </c>
      <c r="H51" s="95">
        <f>H$44*G51</f>
        <v>322997.0333333334</v>
      </c>
    </row>
    <row r="52" spans="1:8" ht="12.75">
      <c r="A52" s="87"/>
      <c r="B52" s="87" t="s">
        <v>387</v>
      </c>
      <c r="C52" s="87"/>
      <c r="D52" s="87"/>
      <c r="E52" s="87"/>
      <c r="F52" s="87"/>
      <c r="G52" s="97">
        <f>VLOOKUP($B$6,PayItems!$A$65:$K$79,11,FALSE)</f>
        <v>0</v>
      </c>
      <c r="H52" s="98">
        <f>H$57*G52</f>
        <v>0</v>
      </c>
    </row>
    <row r="53" spans="7:8" ht="12.75">
      <c r="G53" s="92" t="s">
        <v>388</v>
      </c>
      <c r="H53" s="93">
        <f>SUM(H48:H52)</f>
        <v>1227388.7266666668</v>
      </c>
    </row>
    <row r="55" spans="1:8" ht="12.75">
      <c r="A55" s="68" t="s">
        <v>498</v>
      </c>
      <c r="B55" s="45"/>
      <c r="C55" s="45"/>
      <c r="D55" s="45"/>
      <c r="E55" s="69"/>
      <c r="F55" s="69"/>
      <c r="G55" s="69"/>
      <c r="H55" s="68"/>
    </row>
    <row r="56" spans="2:8" ht="12.75">
      <c r="B56" s="78" t="s">
        <v>352</v>
      </c>
      <c r="D56" s="78" t="s">
        <v>266</v>
      </c>
      <c r="H56" s="79" t="s">
        <v>265</v>
      </c>
    </row>
    <row r="57" spans="2:8" ht="12.75">
      <c r="B57" t="s">
        <v>389</v>
      </c>
      <c r="G57" s="79"/>
      <c r="H57" s="102">
        <f>H32</f>
        <v>1176674.0740740742</v>
      </c>
    </row>
    <row r="58" spans="2:8" ht="12.75">
      <c r="B58" t="s">
        <v>390</v>
      </c>
      <c r="H58" s="95">
        <f>H42</f>
        <v>976639.4814814816</v>
      </c>
    </row>
    <row r="59" spans="1:8" ht="12.75">
      <c r="A59" s="87"/>
      <c r="B59" s="87" t="s">
        <v>391</v>
      </c>
      <c r="C59" s="87"/>
      <c r="D59" s="87"/>
      <c r="E59" s="87"/>
      <c r="F59" s="87"/>
      <c r="G59" s="87"/>
      <c r="H59" s="98">
        <f>H53</f>
        <v>1227388.7266666668</v>
      </c>
    </row>
    <row r="60" spans="7:8" ht="12.75">
      <c r="G60" s="92" t="s">
        <v>392</v>
      </c>
      <c r="H60" s="103">
        <f>SUM(H57:H59)</f>
        <v>3380702.2822222225</v>
      </c>
    </row>
  </sheetData>
  <sheetProtection password="FFAE" sheet="1" selectLockedCells="1"/>
  <printOptions/>
  <pageMargins left="0.75" right="0.75" top="1" bottom="1" header="0.5" footer="0.5"/>
  <pageSetup fitToHeight="1" fitToWidth="1" horizontalDpi="600" verticalDpi="600" orientation="portrait" scale="86"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H60"/>
  <sheetViews>
    <sheetView view="pageBreakPreview" zoomScaleSheetLayoutView="100" zoomScalePageLayoutView="0" workbookViewId="0" topLeftCell="A1">
      <selection activeCell="B6" sqref="B6"/>
    </sheetView>
  </sheetViews>
  <sheetFormatPr defaultColWidth="9.140625" defaultRowHeight="12.75"/>
  <cols>
    <col min="1" max="1" width="6.57421875" style="0" customWidth="1"/>
    <col min="2" max="2" width="24.7109375" style="0" customWidth="1"/>
    <col min="3" max="3" width="18.7109375" style="0" customWidth="1"/>
    <col min="4" max="4" width="13.8515625" style="0" customWidth="1"/>
    <col min="5" max="5" width="8.7109375" style="0" customWidth="1"/>
    <col min="6" max="6" width="5.8515625" style="0" customWidth="1"/>
    <col min="7" max="7" width="8.7109375" style="0" customWidth="1"/>
    <col min="8" max="8" width="12.57421875" style="0" customWidth="1"/>
    <col min="9" max="9" width="3.7109375" style="0" customWidth="1"/>
  </cols>
  <sheetData>
    <row r="1" spans="1:8" ht="17.25">
      <c r="A1" s="65" t="s">
        <v>333</v>
      </c>
      <c r="H1" s="66">
        <v>41102</v>
      </c>
    </row>
    <row r="2" ht="13.5">
      <c r="A2" s="67" t="s">
        <v>415</v>
      </c>
    </row>
    <row r="3" ht="13.5">
      <c r="A3" s="67" t="s">
        <v>258</v>
      </c>
    </row>
    <row r="5" spans="1:8" ht="12.75">
      <c r="A5" s="68" t="s">
        <v>259</v>
      </c>
      <c r="B5" s="45"/>
      <c r="C5" s="45"/>
      <c r="D5" s="69" t="s">
        <v>260</v>
      </c>
      <c r="E5" s="45"/>
      <c r="F5" s="69"/>
      <c r="G5" s="69" t="s">
        <v>334</v>
      </c>
      <c r="H5" s="68" t="s">
        <v>335</v>
      </c>
    </row>
    <row r="6" spans="1:2" ht="12.75">
      <c r="A6" s="70" t="s">
        <v>261</v>
      </c>
      <c r="B6" s="71" t="s">
        <v>393</v>
      </c>
    </row>
    <row r="7" spans="1:2" ht="12.75">
      <c r="A7" s="70" t="s">
        <v>262</v>
      </c>
      <c r="B7" s="71" t="s">
        <v>459</v>
      </c>
    </row>
    <row r="8" spans="2:3" ht="12.75">
      <c r="B8" s="72" t="s">
        <v>337</v>
      </c>
      <c r="C8" s="73" t="s">
        <v>38</v>
      </c>
    </row>
    <row r="9" spans="2:3" ht="12.75">
      <c r="B9" s="72" t="s">
        <v>338</v>
      </c>
      <c r="C9" s="73" t="s">
        <v>339</v>
      </c>
    </row>
    <row r="10" spans="2:3" ht="12.75">
      <c r="B10" s="72" t="s">
        <v>340</v>
      </c>
      <c r="C10" s="73" t="s">
        <v>394</v>
      </c>
    </row>
    <row r="11" spans="2:3" ht="12.75">
      <c r="B11" s="72" t="s">
        <v>342</v>
      </c>
      <c r="C11" s="74">
        <v>5280</v>
      </c>
    </row>
    <row r="12" spans="2:3" ht="12.75">
      <c r="B12" s="72" t="s">
        <v>343</v>
      </c>
      <c r="C12" s="74">
        <v>44</v>
      </c>
    </row>
    <row r="13" spans="2:3" ht="12.75">
      <c r="B13" s="72" t="s">
        <v>344</v>
      </c>
      <c r="C13" s="75">
        <v>1</v>
      </c>
    </row>
    <row r="14" spans="2:3" ht="12.75">
      <c r="B14" s="72" t="s">
        <v>345</v>
      </c>
      <c r="C14" s="76">
        <f>C11*C12*C13/9</f>
        <v>25813.333333333332</v>
      </c>
    </row>
    <row r="15" spans="2:3" ht="12.75">
      <c r="B15" s="72" t="s">
        <v>346</v>
      </c>
      <c r="C15" s="74">
        <v>10</v>
      </c>
    </row>
    <row r="16" spans="2:3" ht="12.75">
      <c r="B16" s="72" t="s">
        <v>347</v>
      </c>
      <c r="C16" s="75">
        <v>0</v>
      </c>
    </row>
    <row r="17" spans="2:3" ht="12.75">
      <c r="B17" s="72" t="s">
        <v>348</v>
      </c>
      <c r="C17" s="77">
        <v>0</v>
      </c>
    </row>
    <row r="18" spans="2:3" ht="12.75">
      <c r="B18" s="72" t="s">
        <v>349</v>
      </c>
      <c r="C18" s="76">
        <f>C14*C17</f>
        <v>0</v>
      </c>
    </row>
    <row r="19" spans="2:3" ht="12.75">
      <c r="B19" s="72" t="s">
        <v>350</v>
      </c>
      <c r="C19" s="74">
        <v>5</v>
      </c>
    </row>
    <row r="20" spans="2:3" ht="12.75">
      <c r="B20" s="72" t="s">
        <v>351</v>
      </c>
      <c r="C20" s="75">
        <v>2</v>
      </c>
    </row>
    <row r="22" spans="1:8" ht="12.75">
      <c r="A22" s="68" t="s">
        <v>263</v>
      </c>
      <c r="B22" s="45"/>
      <c r="C22" s="45"/>
      <c r="D22" s="45"/>
      <c r="E22" s="69"/>
      <c r="F22" s="69"/>
      <c r="G22" s="69"/>
      <c r="H22" s="68"/>
    </row>
    <row r="23" spans="1:8" ht="12.75">
      <c r="A23" s="78" t="s">
        <v>352</v>
      </c>
      <c r="B23" s="78" t="s">
        <v>353</v>
      </c>
      <c r="C23" s="79" t="s">
        <v>354</v>
      </c>
      <c r="D23" s="78"/>
      <c r="E23" s="79" t="s">
        <v>264</v>
      </c>
      <c r="F23" s="79" t="s">
        <v>255</v>
      </c>
      <c r="G23" s="79" t="s">
        <v>355</v>
      </c>
      <c r="H23" s="79" t="s">
        <v>356</v>
      </c>
    </row>
    <row r="24" spans="2:8" ht="12.75">
      <c r="B24" t="s">
        <v>357</v>
      </c>
      <c r="C24" s="80">
        <f>C29+C30+C31</f>
        <v>15</v>
      </c>
      <c r="E24" s="81">
        <f>((C13*C11*(C12+C13*6))/9+C18)*C24/36</f>
        <v>12222.222222222223</v>
      </c>
      <c r="F24" s="82" t="s">
        <v>358</v>
      </c>
      <c r="G24" s="83">
        <f>VLOOKUP($B$6,PayItems!A5:$E$19,5,FALSE)</f>
        <v>15</v>
      </c>
      <c r="H24" s="84">
        <f aca="true" t="shared" si="0" ref="H24:H31">G24*E24</f>
        <v>183333.33333333334</v>
      </c>
    </row>
    <row r="25" spans="2:8" ht="12.75">
      <c r="B25" t="s">
        <v>359</v>
      </c>
      <c r="C25" s="75">
        <v>6</v>
      </c>
      <c r="E25" s="81">
        <f>C11*(C15*2+C16)*C25/(9*36)</f>
        <v>1955.5555555555557</v>
      </c>
      <c r="F25" s="82" t="s">
        <v>358</v>
      </c>
      <c r="G25" s="83">
        <f>VLOOKUP($B$6,PayItems!$A$20:$E$34,5,FALSE)</f>
        <v>10</v>
      </c>
      <c r="H25" s="84">
        <f t="shared" si="0"/>
        <v>19555.555555555555</v>
      </c>
    </row>
    <row r="26" spans="2:8" ht="12.75">
      <c r="B26" t="s">
        <v>360</v>
      </c>
      <c r="C26" s="75">
        <v>12</v>
      </c>
      <c r="E26" s="81">
        <f>C13*C11*(C12+6)*C26/(12*36)</f>
        <v>7333.333333333333</v>
      </c>
      <c r="F26" s="82" t="s">
        <v>358</v>
      </c>
      <c r="G26" s="83">
        <f>VLOOKUP($B$6,PayItems!$A$35:$E$49,5,FALSE)</f>
        <v>20</v>
      </c>
      <c r="H26" s="84">
        <f t="shared" si="0"/>
        <v>146666.66666666666</v>
      </c>
    </row>
    <row r="27" spans="2:8" ht="12.75">
      <c r="B27" t="s">
        <v>361</v>
      </c>
      <c r="C27" s="85"/>
      <c r="E27" s="81">
        <f>2*C13*C11</f>
        <v>10560</v>
      </c>
      <c r="F27" s="82" t="s">
        <v>362</v>
      </c>
      <c r="G27" s="83">
        <f>VLOOKUP($B$6,PayItems!$A$50:$E$64,5,FALSE)</f>
        <v>20</v>
      </c>
      <c r="H27" s="84">
        <f t="shared" si="0"/>
        <v>211200</v>
      </c>
    </row>
    <row r="28" spans="2:8" ht="12.75">
      <c r="B28" t="s">
        <v>363</v>
      </c>
      <c r="C28" s="85"/>
      <c r="E28" s="81">
        <f>C11*C20*C19</f>
        <v>52800</v>
      </c>
      <c r="F28" s="82" t="s">
        <v>364</v>
      </c>
      <c r="G28" s="83">
        <f>VLOOKUP($B$6,PayItems!$A$65:$E$79,5,FALSE)</f>
        <v>6</v>
      </c>
      <c r="H28" s="84">
        <f t="shared" si="0"/>
        <v>316800</v>
      </c>
    </row>
    <row r="29" spans="2:8" ht="12.75">
      <c r="B29" t="s">
        <v>365</v>
      </c>
      <c r="C29" s="75">
        <v>0</v>
      </c>
      <c r="E29" s="86">
        <f>((C13*C11*C12)/9+C18)*C29/36</f>
        <v>0</v>
      </c>
      <c r="F29" s="82" t="s">
        <v>358</v>
      </c>
      <c r="G29" s="83">
        <f>VLOOKUP($B$6,PayItems!$A$80:$E$94,5,FALSE)</f>
        <v>400</v>
      </c>
      <c r="H29" s="84">
        <f t="shared" si="0"/>
        <v>0</v>
      </c>
    </row>
    <row r="30" spans="2:8" ht="12.75">
      <c r="B30" t="s">
        <v>366</v>
      </c>
      <c r="C30" s="75">
        <v>3</v>
      </c>
      <c r="E30" s="81">
        <f>2*((C13*C11*(C12-3))/9+C18)*C30/36</f>
        <v>4008.8888888888887</v>
      </c>
      <c r="F30" s="82" t="s">
        <v>367</v>
      </c>
      <c r="G30" s="83">
        <f>VLOOKUP($B$6,PayItems!$A$95:$E$109,5,FALSE)</f>
        <v>80</v>
      </c>
      <c r="H30" s="84">
        <f t="shared" si="0"/>
        <v>320711.1111111111</v>
      </c>
    </row>
    <row r="31" spans="1:8" ht="12.75">
      <c r="A31" s="87"/>
      <c r="B31" s="87" t="s">
        <v>368</v>
      </c>
      <c r="C31" s="75">
        <v>12</v>
      </c>
      <c r="D31" s="87"/>
      <c r="E31" s="88">
        <f>((C13*C11*(C12+6))/9+C18)*C31/36</f>
        <v>9777.777777777777</v>
      </c>
      <c r="F31" s="89" t="s">
        <v>358</v>
      </c>
      <c r="G31" s="90">
        <f>VLOOKUP($B$6,PayItems!$A$110:$E$124,5,FALSE)</f>
        <v>15</v>
      </c>
      <c r="H31" s="91">
        <f t="shared" si="0"/>
        <v>146666.66666666666</v>
      </c>
    </row>
    <row r="32" spans="7:8" ht="12.75">
      <c r="G32" s="92" t="s">
        <v>369</v>
      </c>
      <c r="H32" s="93">
        <f>SUM(H24:H31)</f>
        <v>1344933.3333333333</v>
      </c>
    </row>
    <row r="34" spans="1:8" ht="12.75">
      <c r="A34" s="68" t="s">
        <v>370</v>
      </c>
      <c r="B34" s="45"/>
      <c r="C34" s="45"/>
      <c r="D34" s="45"/>
      <c r="E34" s="69"/>
      <c r="F34" s="69"/>
      <c r="G34" s="69"/>
      <c r="H34" s="68"/>
    </row>
    <row r="35" spans="2:8" ht="12.75">
      <c r="B35" s="78" t="s">
        <v>353</v>
      </c>
      <c r="D35" s="78" t="s">
        <v>266</v>
      </c>
      <c r="G35" s="79" t="s">
        <v>267</v>
      </c>
      <c r="H35" s="79" t="s">
        <v>265</v>
      </c>
    </row>
    <row r="36" spans="2:8" ht="12.75">
      <c r="B36" t="s">
        <v>371</v>
      </c>
      <c r="D36" t="s">
        <v>372</v>
      </c>
      <c r="G36" s="94">
        <f>VLOOKUP($B$6,PayItems!$A$5:$H$19,8,FALSE)</f>
        <v>0.6</v>
      </c>
      <c r="H36" s="95">
        <f aca="true" t="shared" si="1" ref="H36:H41">H$32*G36</f>
        <v>806959.9999999999</v>
      </c>
    </row>
    <row r="37" spans="2:8" ht="12.75">
      <c r="B37" t="s">
        <v>373</v>
      </c>
      <c r="G37" s="94">
        <f>VLOOKUP($B$6,PayItems!$A$20:$H$34,8,FALSE)</f>
        <v>0.1</v>
      </c>
      <c r="H37" s="95">
        <f t="shared" si="1"/>
        <v>134493.33333333334</v>
      </c>
    </row>
    <row r="38" spans="2:8" ht="12.75">
      <c r="B38" t="s">
        <v>374</v>
      </c>
      <c r="D38" s="96"/>
      <c r="G38" s="94">
        <v>0.03</v>
      </c>
      <c r="H38" s="95">
        <f t="shared" si="1"/>
        <v>40347.99999999999</v>
      </c>
    </row>
    <row r="39" spans="2:8" ht="12.75">
      <c r="B39" t="s">
        <v>268</v>
      </c>
      <c r="G39" s="94">
        <f>VLOOKUP($B$6,PayItems!$A$50:$H$64,8,FALSE)</f>
        <v>0</v>
      </c>
      <c r="H39" s="95">
        <f t="shared" si="1"/>
        <v>0</v>
      </c>
    </row>
    <row r="40" spans="2:8" ht="12.75">
      <c r="B40" t="s">
        <v>375</v>
      </c>
      <c r="G40" s="94">
        <f>VLOOKUP($B$6,PayItems!$A$65:$H$79,8,FALSE)</f>
        <v>0.06</v>
      </c>
      <c r="H40" s="95">
        <f t="shared" si="1"/>
        <v>80695.99999999999</v>
      </c>
    </row>
    <row r="41" spans="1:8" ht="12.75">
      <c r="A41" s="87"/>
      <c r="B41" s="87" t="s">
        <v>376</v>
      </c>
      <c r="C41" s="87"/>
      <c r="D41" s="87"/>
      <c r="E41" s="87"/>
      <c r="F41" s="87"/>
      <c r="G41" s="97">
        <f>VLOOKUP($B$6,PayItems!$A$80:$H$94,8,FALSE)</f>
        <v>0.04</v>
      </c>
      <c r="H41" s="98">
        <f t="shared" si="1"/>
        <v>53797.33333333333</v>
      </c>
    </row>
    <row r="42" spans="7:8" ht="12.75">
      <c r="G42" s="92" t="s">
        <v>377</v>
      </c>
      <c r="H42" s="93">
        <f>SUM(H36:H41)</f>
        <v>1116294.6666666665</v>
      </c>
    </row>
    <row r="43" spans="1:8" ht="13.5" thickBot="1">
      <c r="A43" s="99"/>
      <c r="B43" s="99"/>
      <c r="C43" s="99"/>
      <c r="D43" s="99"/>
      <c r="E43" s="99"/>
      <c r="F43" s="99"/>
      <c r="G43" s="99"/>
      <c r="H43" s="99"/>
    </row>
    <row r="44" spans="7:8" ht="12.75">
      <c r="G44" s="100" t="s">
        <v>378</v>
      </c>
      <c r="H44" s="101">
        <f>H32+H42</f>
        <v>2461228</v>
      </c>
    </row>
    <row r="46" spans="1:8" ht="12.75">
      <c r="A46" s="68" t="s">
        <v>379</v>
      </c>
      <c r="B46" s="45"/>
      <c r="C46" s="45"/>
      <c r="D46" s="45"/>
      <c r="E46" s="69"/>
      <c r="F46" s="69"/>
      <c r="G46" s="69"/>
      <c r="H46" s="68"/>
    </row>
    <row r="47" spans="2:8" ht="12.75">
      <c r="B47" s="78" t="s">
        <v>353</v>
      </c>
      <c r="D47" s="78" t="s">
        <v>266</v>
      </c>
      <c r="G47" s="79" t="s">
        <v>267</v>
      </c>
      <c r="H47" s="79" t="s">
        <v>265</v>
      </c>
    </row>
    <row r="48" spans="2:8" ht="12.75">
      <c r="B48" t="s">
        <v>380</v>
      </c>
      <c r="D48" t="s">
        <v>381</v>
      </c>
      <c r="G48" s="94">
        <f>VLOOKUP($B$6,PayItems!A5:$K$19,11,FALSE)</f>
        <v>0.25</v>
      </c>
      <c r="H48" s="95">
        <f>H$44*G48</f>
        <v>615307</v>
      </c>
    </row>
    <row r="49" spans="2:8" ht="12.75">
      <c r="B49" t="s">
        <v>382</v>
      </c>
      <c r="D49" t="s">
        <v>383</v>
      </c>
      <c r="G49" s="94">
        <f>VLOOKUP($B$6,PayItems!$A$20:$K$34,11,FALSE)</f>
        <v>0.12</v>
      </c>
      <c r="H49" s="95">
        <f>H$44*G49</f>
        <v>295347.36</v>
      </c>
    </row>
    <row r="50" spans="2:8" ht="12.75">
      <c r="B50" t="s">
        <v>384</v>
      </c>
      <c r="D50" t="s">
        <v>385</v>
      </c>
      <c r="G50" s="94">
        <f>VLOOKUP($B$6,PayItems!$A$35:$K$49,11,FALSE)</f>
        <v>0.05</v>
      </c>
      <c r="H50" s="95">
        <f>H$44*G50</f>
        <v>123061.40000000001</v>
      </c>
    </row>
    <row r="51" spans="2:8" ht="12.75">
      <c r="B51" t="s">
        <v>386</v>
      </c>
      <c r="G51" s="94">
        <f>VLOOKUP($B$6,PayItems!$A$50:$K$64,11,FALSE)</f>
        <v>0.15</v>
      </c>
      <c r="H51" s="95">
        <f>H$44*G51</f>
        <v>369184.2</v>
      </c>
    </row>
    <row r="52" spans="1:8" ht="12.75">
      <c r="A52" s="87"/>
      <c r="B52" s="87" t="s">
        <v>387</v>
      </c>
      <c r="C52" s="87"/>
      <c r="D52" s="87"/>
      <c r="E52" s="87"/>
      <c r="F52" s="87"/>
      <c r="G52" s="97">
        <f>VLOOKUP($B$6,PayItems!$A$65:$K$79,11,FALSE)</f>
        <v>0</v>
      </c>
      <c r="H52" s="98">
        <f>H$57*G52</f>
        <v>0</v>
      </c>
    </row>
    <row r="53" spans="7:8" ht="12.75">
      <c r="G53" s="92" t="s">
        <v>388</v>
      </c>
      <c r="H53" s="93">
        <f>SUM(H48:H52)</f>
        <v>1402899.96</v>
      </c>
    </row>
    <row r="55" spans="1:8" ht="12.75">
      <c r="A55" s="68" t="s">
        <v>498</v>
      </c>
      <c r="B55" s="45"/>
      <c r="C55" s="45"/>
      <c r="D55" s="45"/>
      <c r="E55" s="69"/>
      <c r="F55" s="69"/>
      <c r="G55" s="69"/>
      <c r="H55" s="68"/>
    </row>
    <row r="56" spans="2:8" ht="12.75">
      <c r="B56" s="78" t="s">
        <v>352</v>
      </c>
      <c r="D56" s="78" t="s">
        <v>266</v>
      </c>
      <c r="H56" s="79" t="s">
        <v>265</v>
      </c>
    </row>
    <row r="57" spans="2:8" ht="12.75">
      <c r="B57" t="s">
        <v>389</v>
      </c>
      <c r="G57" s="79"/>
      <c r="H57" s="102">
        <f>H32</f>
        <v>1344933.3333333333</v>
      </c>
    </row>
    <row r="58" spans="2:8" ht="12.75">
      <c r="B58" t="s">
        <v>390</v>
      </c>
      <c r="H58" s="95">
        <f>H42</f>
        <v>1116294.6666666665</v>
      </c>
    </row>
    <row r="59" spans="1:8" ht="12.75">
      <c r="A59" s="87"/>
      <c r="B59" s="87" t="s">
        <v>391</v>
      </c>
      <c r="C59" s="87"/>
      <c r="D59" s="87"/>
      <c r="E59" s="87"/>
      <c r="F59" s="87"/>
      <c r="G59" s="87"/>
      <c r="H59" s="98">
        <f>H53</f>
        <v>1402899.96</v>
      </c>
    </row>
    <row r="60" spans="7:8" ht="12.75">
      <c r="G60" s="92" t="s">
        <v>392</v>
      </c>
      <c r="H60" s="103">
        <f>SUM(H57:H59)</f>
        <v>3864127.96</v>
      </c>
    </row>
  </sheetData>
  <sheetProtection password="FFAE" sheet="1" selectLockedCells="1"/>
  <printOptions/>
  <pageMargins left="0.75" right="0.75" top="1" bottom="1" header="0.5" footer="0.5"/>
  <pageSetup fitToHeight="1" fitToWidth="1" horizontalDpi="600" verticalDpi="600" orientation="portrait" scale="86"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H60"/>
  <sheetViews>
    <sheetView view="pageBreakPreview" zoomScaleSheetLayoutView="100" zoomScalePageLayoutView="0" workbookViewId="0" topLeftCell="A1">
      <selection activeCell="B6" sqref="B6"/>
    </sheetView>
  </sheetViews>
  <sheetFormatPr defaultColWidth="9.140625" defaultRowHeight="12.75"/>
  <cols>
    <col min="1" max="1" width="6.57421875" style="0" customWidth="1"/>
    <col min="2" max="2" width="24.7109375" style="0" customWidth="1"/>
    <col min="3" max="3" width="18.7109375" style="0" customWidth="1"/>
    <col min="4" max="4" width="13.8515625" style="0" customWidth="1"/>
    <col min="5" max="5" width="8.7109375" style="0" customWidth="1"/>
    <col min="6" max="6" width="5.8515625" style="0" customWidth="1"/>
    <col min="7" max="7" width="8.7109375" style="0" customWidth="1"/>
    <col min="8" max="8" width="12.57421875" style="0" customWidth="1"/>
    <col min="9" max="9" width="3.7109375" style="0" customWidth="1"/>
  </cols>
  <sheetData>
    <row r="1" spans="1:8" ht="17.25">
      <c r="A1" s="65" t="s">
        <v>333</v>
      </c>
      <c r="H1" s="66">
        <v>41102</v>
      </c>
    </row>
    <row r="2" ht="13.5">
      <c r="A2" s="67" t="s">
        <v>415</v>
      </c>
    </row>
    <row r="3" ht="13.5">
      <c r="A3" s="67" t="s">
        <v>258</v>
      </c>
    </row>
    <row r="5" spans="1:8" ht="12.75">
      <c r="A5" s="68" t="s">
        <v>259</v>
      </c>
      <c r="B5" s="45"/>
      <c r="C5" s="45"/>
      <c r="D5" s="69" t="s">
        <v>260</v>
      </c>
      <c r="E5" s="45"/>
      <c r="F5" s="69"/>
      <c r="G5" s="69" t="s">
        <v>334</v>
      </c>
      <c r="H5" s="68" t="s">
        <v>335</v>
      </c>
    </row>
    <row r="6" spans="1:2" ht="12.75">
      <c r="A6" s="70" t="s">
        <v>261</v>
      </c>
      <c r="B6" s="71" t="s">
        <v>395</v>
      </c>
    </row>
    <row r="7" spans="1:2" ht="12.75">
      <c r="A7" s="70" t="s">
        <v>262</v>
      </c>
      <c r="B7" s="71" t="s">
        <v>459</v>
      </c>
    </row>
    <row r="8" spans="2:3" ht="12.75">
      <c r="B8" s="72" t="s">
        <v>337</v>
      </c>
      <c r="C8" s="73" t="s">
        <v>38</v>
      </c>
    </row>
    <row r="9" spans="2:3" ht="12.75">
      <c r="B9" s="72" t="s">
        <v>338</v>
      </c>
      <c r="C9" s="73" t="s">
        <v>339</v>
      </c>
    </row>
    <row r="10" spans="2:3" ht="12.75">
      <c r="B10" s="72" t="s">
        <v>340</v>
      </c>
      <c r="C10" s="73" t="s">
        <v>396</v>
      </c>
    </row>
    <row r="11" spans="2:3" ht="12.75">
      <c r="B11" s="72" t="s">
        <v>342</v>
      </c>
      <c r="C11" s="74">
        <v>5280</v>
      </c>
    </row>
    <row r="12" spans="2:3" ht="12.75">
      <c r="B12" s="72" t="s">
        <v>343</v>
      </c>
      <c r="C12" s="74">
        <v>48</v>
      </c>
    </row>
    <row r="13" spans="2:3" ht="12.75">
      <c r="B13" s="72" t="s">
        <v>344</v>
      </c>
      <c r="C13" s="75">
        <v>1</v>
      </c>
    </row>
    <row r="14" spans="2:3" ht="12.75">
      <c r="B14" s="72" t="s">
        <v>345</v>
      </c>
      <c r="C14" s="76">
        <f>C11*C12*C13/9</f>
        <v>28160</v>
      </c>
    </row>
    <row r="15" spans="2:3" ht="12.75">
      <c r="B15" s="72" t="s">
        <v>346</v>
      </c>
      <c r="C15" s="74">
        <v>11</v>
      </c>
    </row>
    <row r="16" spans="2:3" ht="12.75">
      <c r="B16" s="72" t="s">
        <v>347</v>
      </c>
      <c r="C16" s="75">
        <v>0</v>
      </c>
    </row>
    <row r="17" spans="2:3" ht="12.75">
      <c r="B17" s="72" t="s">
        <v>348</v>
      </c>
      <c r="C17" s="77">
        <v>0</v>
      </c>
    </row>
    <row r="18" spans="2:3" ht="12.75">
      <c r="B18" s="72" t="s">
        <v>349</v>
      </c>
      <c r="C18" s="76">
        <f>C14*C17</f>
        <v>0</v>
      </c>
    </row>
    <row r="19" spans="2:3" ht="12.75">
      <c r="B19" s="72" t="s">
        <v>350</v>
      </c>
      <c r="C19" s="74">
        <v>5</v>
      </c>
    </row>
    <row r="20" spans="2:3" ht="12.75">
      <c r="B20" s="72" t="s">
        <v>351</v>
      </c>
      <c r="C20" s="75">
        <v>2</v>
      </c>
    </row>
    <row r="22" spans="1:8" ht="12.75">
      <c r="A22" s="68" t="s">
        <v>263</v>
      </c>
      <c r="B22" s="45"/>
      <c r="C22" s="45"/>
      <c r="D22" s="45"/>
      <c r="E22" s="69"/>
      <c r="F22" s="69"/>
      <c r="G22" s="69"/>
      <c r="H22" s="68"/>
    </row>
    <row r="23" spans="1:8" ht="12.75">
      <c r="A23" s="78" t="s">
        <v>352</v>
      </c>
      <c r="B23" s="78" t="s">
        <v>353</v>
      </c>
      <c r="C23" s="79" t="s">
        <v>354</v>
      </c>
      <c r="D23" s="78"/>
      <c r="E23" s="79" t="s">
        <v>264</v>
      </c>
      <c r="F23" s="79" t="s">
        <v>255</v>
      </c>
      <c r="G23" s="79" t="s">
        <v>355</v>
      </c>
      <c r="H23" s="79" t="s">
        <v>356</v>
      </c>
    </row>
    <row r="24" spans="2:8" ht="12.75">
      <c r="B24" t="s">
        <v>357</v>
      </c>
      <c r="C24" s="80">
        <f>C29+C30+C31</f>
        <v>19.5</v>
      </c>
      <c r="E24" s="81">
        <f>((C13*C11*(C12+C13*6))/9+C18)*C24/36</f>
        <v>17160</v>
      </c>
      <c r="F24" s="82" t="s">
        <v>358</v>
      </c>
      <c r="G24" s="83">
        <f>VLOOKUP($B$6,PayItems!A5:$E$19,5,FALSE)</f>
        <v>15</v>
      </c>
      <c r="H24" s="84">
        <f aca="true" t="shared" si="0" ref="H24:H31">G24*E24</f>
        <v>257400</v>
      </c>
    </row>
    <row r="25" spans="2:8" ht="12.75">
      <c r="B25" t="s">
        <v>359</v>
      </c>
      <c r="C25" s="75">
        <v>6</v>
      </c>
      <c r="E25" s="81">
        <f>C11*(C15*2+C16)*C25/(9*36)</f>
        <v>2151.1111111111113</v>
      </c>
      <c r="F25" s="82" t="s">
        <v>358</v>
      </c>
      <c r="G25" s="83">
        <f>VLOOKUP($B$6,PayItems!$A$20:$E$34,5,FALSE)</f>
        <v>10</v>
      </c>
      <c r="H25" s="84">
        <f t="shared" si="0"/>
        <v>21511.111111111113</v>
      </c>
    </row>
    <row r="26" spans="2:8" ht="12.75">
      <c r="B26" t="s">
        <v>360</v>
      </c>
      <c r="C26" s="75">
        <v>12</v>
      </c>
      <c r="E26" s="81">
        <f>C13*C11*(C12+6)*C26/(12*36)</f>
        <v>7920</v>
      </c>
      <c r="F26" s="82" t="s">
        <v>358</v>
      </c>
      <c r="G26" s="83">
        <f>VLOOKUP($B$6,PayItems!$A$35:$E$49,5,FALSE)</f>
        <v>20</v>
      </c>
      <c r="H26" s="84">
        <f t="shared" si="0"/>
        <v>158400</v>
      </c>
    </row>
    <row r="27" spans="2:8" ht="12.75">
      <c r="B27" t="s">
        <v>361</v>
      </c>
      <c r="C27" s="85"/>
      <c r="E27" s="81">
        <f>2*C13*C11</f>
        <v>10560</v>
      </c>
      <c r="F27" s="82" t="s">
        <v>362</v>
      </c>
      <c r="G27" s="83">
        <f>VLOOKUP($B$6,PayItems!$A$50:$E$64,5,FALSE)</f>
        <v>20</v>
      </c>
      <c r="H27" s="84">
        <f t="shared" si="0"/>
        <v>211200</v>
      </c>
    </row>
    <row r="28" spans="2:8" ht="12.75">
      <c r="B28" t="s">
        <v>363</v>
      </c>
      <c r="C28" s="85"/>
      <c r="E28" s="81">
        <f>C11*C20*C19</f>
        <v>52800</v>
      </c>
      <c r="F28" s="82" t="s">
        <v>364</v>
      </c>
      <c r="G28" s="83">
        <f>VLOOKUP($B$6,PayItems!$A$65:$E$79,5,FALSE)</f>
        <v>6</v>
      </c>
      <c r="H28" s="84">
        <f t="shared" si="0"/>
        <v>316800</v>
      </c>
    </row>
    <row r="29" spans="2:8" ht="12.75">
      <c r="B29" t="s">
        <v>365</v>
      </c>
      <c r="C29" s="75">
        <v>0</v>
      </c>
      <c r="E29" s="86">
        <f>((C13*C11*C12)/9+C18)*C29/36</f>
        <v>0</v>
      </c>
      <c r="F29" s="82" t="s">
        <v>358</v>
      </c>
      <c r="G29" s="83">
        <f>VLOOKUP($B$6,PayItems!$A$80:$E$94,5,FALSE)</f>
        <v>400</v>
      </c>
      <c r="H29" s="84">
        <f t="shared" si="0"/>
        <v>0</v>
      </c>
    </row>
    <row r="30" spans="2:8" ht="12.75">
      <c r="B30" t="s">
        <v>366</v>
      </c>
      <c r="C30" s="75">
        <v>4.5</v>
      </c>
      <c r="E30" s="81">
        <f>2*((C13*C11*(C12-3))/9+C18)*C30/36</f>
        <v>6600</v>
      </c>
      <c r="F30" s="82" t="s">
        <v>367</v>
      </c>
      <c r="G30" s="83">
        <f>VLOOKUP($B$6,PayItems!$A$95:$E$109,5,FALSE)</f>
        <v>80</v>
      </c>
      <c r="H30" s="84">
        <f t="shared" si="0"/>
        <v>528000</v>
      </c>
    </row>
    <row r="31" spans="1:8" ht="12.75">
      <c r="A31" s="87"/>
      <c r="B31" s="87" t="s">
        <v>368</v>
      </c>
      <c r="C31" s="75">
        <v>15</v>
      </c>
      <c r="D31" s="87"/>
      <c r="E31" s="88">
        <f>((C13*C11*(C12+6))/9+C18)*C31/36</f>
        <v>13200</v>
      </c>
      <c r="F31" s="89" t="s">
        <v>358</v>
      </c>
      <c r="G31" s="90">
        <f>VLOOKUP($B$6,PayItems!$A$110:$E$124,5,FALSE)</f>
        <v>15</v>
      </c>
      <c r="H31" s="91">
        <f t="shared" si="0"/>
        <v>198000</v>
      </c>
    </row>
    <row r="32" spans="7:8" ht="12.75">
      <c r="G32" s="92" t="s">
        <v>369</v>
      </c>
      <c r="H32" s="93">
        <f>SUM(H24:H31)</f>
        <v>1691311.111111111</v>
      </c>
    </row>
    <row r="34" spans="1:8" ht="12.75">
      <c r="A34" s="68" t="s">
        <v>370</v>
      </c>
      <c r="B34" s="45"/>
      <c r="C34" s="45"/>
      <c r="D34" s="45"/>
      <c r="E34" s="69"/>
      <c r="F34" s="69"/>
      <c r="G34" s="69"/>
      <c r="H34" s="68"/>
    </row>
    <row r="35" spans="2:8" ht="12.75">
      <c r="B35" s="78" t="s">
        <v>353</v>
      </c>
      <c r="D35" s="78" t="s">
        <v>266</v>
      </c>
      <c r="G35" s="79" t="s">
        <v>267</v>
      </c>
      <c r="H35" s="79" t="s">
        <v>265</v>
      </c>
    </row>
    <row r="36" spans="2:8" ht="12.75">
      <c r="B36" t="s">
        <v>371</v>
      </c>
      <c r="D36" t="s">
        <v>372</v>
      </c>
      <c r="G36" s="94">
        <f>VLOOKUP($B$6,PayItems!$A$5:$H$19,8,FALSE)</f>
        <v>0.6</v>
      </c>
      <c r="H36" s="95">
        <f aca="true" t="shared" si="1" ref="H36:H41">H$32*G36</f>
        <v>1014786.6666666665</v>
      </c>
    </row>
    <row r="37" spans="2:8" ht="12.75">
      <c r="B37" t="s">
        <v>373</v>
      </c>
      <c r="G37" s="94">
        <f>VLOOKUP($B$6,PayItems!$A$20:$H$34,8,FALSE)</f>
        <v>0.1</v>
      </c>
      <c r="H37" s="95">
        <f t="shared" si="1"/>
        <v>169131.11111111112</v>
      </c>
    </row>
    <row r="38" spans="2:8" ht="12.75">
      <c r="B38" t="s">
        <v>374</v>
      </c>
      <c r="D38" s="96"/>
      <c r="G38" s="94">
        <v>0.03</v>
      </c>
      <c r="H38" s="95">
        <f t="shared" si="1"/>
        <v>50739.33333333333</v>
      </c>
    </row>
    <row r="39" spans="2:8" ht="12.75">
      <c r="B39" t="s">
        <v>268</v>
      </c>
      <c r="G39" s="94">
        <f>VLOOKUP($B$6,PayItems!$A$50:$H$64,8,FALSE)</f>
        <v>0</v>
      </c>
      <c r="H39" s="95">
        <f t="shared" si="1"/>
        <v>0</v>
      </c>
    </row>
    <row r="40" spans="2:8" ht="12.75">
      <c r="B40" t="s">
        <v>375</v>
      </c>
      <c r="G40" s="94">
        <f>VLOOKUP($B$6,PayItems!$A$65:$H$79,8,FALSE)</f>
        <v>0.06</v>
      </c>
      <c r="H40" s="95">
        <f t="shared" si="1"/>
        <v>101478.66666666666</v>
      </c>
    </row>
    <row r="41" spans="1:8" ht="12.75">
      <c r="A41" s="87"/>
      <c r="B41" s="87" t="s">
        <v>376</v>
      </c>
      <c r="C41" s="87"/>
      <c r="D41" s="87"/>
      <c r="E41" s="87"/>
      <c r="F41" s="87"/>
      <c r="G41" s="97">
        <f>VLOOKUP($B$6,PayItems!$A$80:$H$94,8,FALSE)</f>
        <v>0.04</v>
      </c>
      <c r="H41" s="98">
        <f t="shared" si="1"/>
        <v>67652.44444444444</v>
      </c>
    </row>
    <row r="42" spans="7:8" ht="12.75">
      <c r="G42" s="92" t="s">
        <v>377</v>
      </c>
      <c r="H42" s="93">
        <f>SUM(H36:H41)</f>
        <v>1403788.222222222</v>
      </c>
    </row>
    <row r="43" spans="1:8" ht="13.5" thickBot="1">
      <c r="A43" s="99"/>
      <c r="B43" s="99"/>
      <c r="C43" s="99"/>
      <c r="D43" s="99"/>
      <c r="E43" s="99"/>
      <c r="F43" s="99"/>
      <c r="G43" s="99"/>
      <c r="H43" s="99"/>
    </row>
    <row r="44" spans="7:8" ht="12.75">
      <c r="G44" s="100" t="s">
        <v>378</v>
      </c>
      <c r="H44" s="101">
        <f>H32+H42</f>
        <v>3095099.333333333</v>
      </c>
    </row>
    <row r="46" spans="1:8" ht="12.75">
      <c r="A46" s="68" t="s">
        <v>379</v>
      </c>
      <c r="B46" s="45"/>
      <c r="C46" s="45"/>
      <c r="D46" s="45"/>
      <c r="E46" s="69"/>
      <c r="F46" s="69"/>
      <c r="G46" s="69"/>
      <c r="H46" s="68"/>
    </row>
    <row r="47" spans="2:8" ht="12.75">
      <c r="B47" s="78" t="s">
        <v>353</v>
      </c>
      <c r="D47" s="78" t="s">
        <v>266</v>
      </c>
      <c r="G47" s="79" t="s">
        <v>267</v>
      </c>
      <c r="H47" s="79" t="s">
        <v>265</v>
      </c>
    </row>
    <row r="48" spans="2:8" ht="12.75">
      <c r="B48" t="s">
        <v>380</v>
      </c>
      <c r="D48" t="s">
        <v>381</v>
      </c>
      <c r="G48" s="94">
        <f>VLOOKUP($B$6,PayItems!A5:$K$19,11,FALSE)</f>
        <v>0.25</v>
      </c>
      <c r="H48" s="95">
        <f>H$44*G48</f>
        <v>773774.8333333333</v>
      </c>
    </row>
    <row r="49" spans="2:8" ht="12.75">
      <c r="B49" t="s">
        <v>382</v>
      </c>
      <c r="D49" t="s">
        <v>383</v>
      </c>
      <c r="G49" s="94">
        <f>VLOOKUP($B$6,PayItems!$A$20:$K$34,11,FALSE)</f>
        <v>0.12</v>
      </c>
      <c r="H49" s="95">
        <f>H$44*G49</f>
        <v>371411.9199999999</v>
      </c>
    </row>
    <row r="50" spans="2:8" ht="12.75">
      <c r="B50" t="s">
        <v>384</v>
      </c>
      <c r="D50" t="s">
        <v>385</v>
      </c>
      <c r="G50" s="94">
        <f>VLOOKUP($B$6,PayItems!$A$35:$K$49,11,FALSE)</f>
        <v>0.05</v>
      </c>
      <c r="H50" s="95">
        <f>H$44*G50</f>
        <v>154754.96666666665</v>
      </c>
    </row>
    <row r="51" spans="2:8" ht="12.75">
      <c r="B51" t="s">
        <v>386</v>
      </c>
      <c r="G51" s="94">
        <f>VLOOKUP($B$6,PayItems!$A$50:$K$64,11,FALSE)</f>
        <v>0.15</v>
      </c>
      <c r="H51" s="95">
        <f>H$44*G51</f>
        <v>464264.89999999997</v>
      </c>
    </row>
    <row r="52" spans="1:8" ht="12.75">
      <c r="A52" s="87"/>
      <c r="B52" s="87" t="s">
        <v>387</v>
      </c>
      <c r="C52" s="87"/>
      <c r="D52" s="87"/>
      <c r="E52" s="87"/>
      <c r="F52" s="87"/>
      <c r="G52" s="97">
        <f>VLOOKUP($B$6,PayItems!$A$65:$K$79,11,FALSE)</f>
        <v>0</v>
      </c>
      <c r="H52" s="98">
        <f>H$57*G52</f>
        <v>0</v>
      </c>
    </row>
    <row r="53" spans="7:8" ht="12.75">
      <c r="G53" s="92" t="s">
        <v>388</v>
      </c>
      <c r="H53" s="93">
        <f>SUM(H48:H52)</f>
        <v>1764206.6199999996</v>
      </c>
    </row>
    <row r="55" spans="1:8" ht="12.75">
      <c r="A55" s="68" t="s">
        <v>498</v>
      </c>
      <c r="B55" s="45"/>
      <c r="C55" s="45"/>
      <c r="D55" s="45"/>
      <c r="E55" s="69"/>
      <c r="F55" s="69"/>
      <c r="G55" s="69"/>
      <c r="H55" s="68"/>
    </row>
    <row r="56" spans="2:8" ht="12.75">
      <c r="B56" s="78" t="s">
        <v>352</v>
      </c>
      <c r="D56" s="78" t="s">
        <v>266</v>
      </c>
      <c r="H56" s="79" t="s">
        <v>265</v>
      </c>
    </row>
    <row r="57" spans="2:8" ht="12.75">
      <c r="B57" t="s">
        <v>389</v>
      </c>
      <c r="G57" s="79"/>
      <c r="H57" s="102">
        <f>H32</f>
        <v>1691311.111111111</v>
      </c>
    </row>
    <row r="58" spans="2:8" ht="12.75">
      <c r="B58" t="s">
        <v>390</v>
      </c>
      <c r="H58" s="95">
        <f>H42</f>
        <v>1403788.222222222</v>
      </c>
    </row>
    <row r="59" spans="1:8" ht="12.75">
      <c r="A59" s="87"/>
      <c r="B59" s="87" t="s">
        <v>391</v>
      </c>
      <c r="C59" s="87"/>
      <c r="D59" s="87"/>
      <c r="E59" s="87"/>
      <c r="F59" s="87"/>
      <c r="G59" s="87"/>
      <c r="H59" s="98">
        <f>H53</f>
        <v>1764206.6199999996</v>
      </c>
    </row>
    <row r="60" spans="7:8" ht="12.75">
      <c r="G60" s="92" t="s">
        <v>392</v>
      </c>
      <c r="H60" s="103">
        <f>SUM(H57:H59)</f>
        <v>4859305.953333333</v>
      </c>
    </row>
  </sheetData>
  <sheetProtection password="FFAE" sheet="1" selectLockedCells="1"/>
  <printOptions/>
  <pageMargins left="0.75" right="0.75" top="1" bottom="1" header="0.5" footer="0.5"/>
  <pageSetup fitToHeight="1" fitToWidth="1" horizontalDpi="600" verticalDpi="600" orientation="portrait" scale="86"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H60"/>
  <sheetViews>
    <sheetView view="pageBreakPreview" zoomScaleSheetLayoutView="100" zoomScalePageLayoutView="0" workbookViewId="0" topLeftCell="A1">
      <selection activeCell="B6" sqref="B6"/>
    </sheetView>
  </sheetViews>
  <sheetFormatPr defaultColWidth="9.140625" defaultRowHeight="12.75"/>
  <cols>
    <col min="1" max="1" width="6.57421875" style="0" customWidth="1"/>
    <col min="2" max="2" width="24.7109375" style="0" customWidth="1"/>
    <col min="3" max="3" width="18.7109375" style="0" customWidth="1"/>
    <col min="4" max="4" width="13.8515625" style="0" customWidth="1"/>
    <col min="5" max="5" width="8.7109375" style="0" customWidth="1"/>
    <col min="6" max="6" width="5.8515625" style="0" customWidth="1"/>
    <col min="7" max="7" width="8.7109375" style="0" customWidth="1"/>
    <col min="8" max="8" width="12.57421875" style="0" customWidth="1"/>
    <col min="9" max="9" width="3.7109375" style="0" customWidth="1"/>
  </cols>
  <sheetData>
    <row r="1" spans="1:8" ht="17.25">
      <c r="A1" s="65" t="s">
        <v>333</v>
      </c>
      <c r="H1" s="66">
        <v>41102</v>
      </c>
    </row>
    <row r="2" ht="13.5">
      <c r="A2" s="67" t="s">
        <v>415</v>
      </c>
    </row>
    <row r="3" ht="13.5">
      <c r="A3" s="67" t="s">
        <v>258</v>
      </c>
    </row>
    <row r="5" spans="1:8" ht="12.75">
      <c r="A5" s="68" t="s">
        <v>259</v>
      </c>
      <c r="B5" s="45"/>
      <c r="C5" s="45"/>
      <c r="D5" s="69" t="s">
        <v>260</v>
      </c>
      <c r="E5" s="45"/>
      <c r="F5" s="69"/>
      <c r="G5" s="69" t="s">
        <v>334</v>
      </c>
      <c r="H5" s="68" t="s">
        <v>335</v>
      </c>
    </row>
    <row r="6" spans="1:2" ht="12.75">
      <c r="A6" s="70" t="s">
        <v>261</v>
      </c>
      <c r="B6" s="71" t="s">
        <v>397</v>
      </c>
    </row>
    <row r="7" spans="1:2" ht="12.75">
      <c r="A7" s="70" t="s">
        <v>262</v>
      </c>
      <c r="B7" s="71" t="s">
        <v>459</v>
      </c>
    </row>
    <row r="8" spans="2:3" ht="12.75">
      <c r="B8" s="72" t="s">
        <v>337</v>
      </c>
      <c r="C8" s="73" t="s">
        <v>38</v>
      </c>
    </row>
    <row r="9" spans="2:3" ht="12.75">
      <c r="B9" s="72" t="s">
        <v>338</v>
      </c>
      <c r="C9" s="73" t="s">
        <v>339</v>
      </c>
    </row>
    <row r="10" spans="2:3" ht="12.75">
      <c r="B10" s="72" t="s">
        <v>340</v>
      </c>
      <c r="C10" s="73" t="s">
        <v>398</v>
      </c>
    </row>
    <row r="11" spans="2:3" ht="12.75">
      <c r="B11" s="72" t="s">
        <v>342</v>
      </c>
      <c r="C11" s="74">
        <v>5280</v>
      </c>
    </row>
    <row r="12" spans="2:3" ht="12.75">
      <c r="B12" s="72" t="s">
        <v>343</v>
      </c>
      <c r="C12" s="74">
        <v>60</v>
      </c>
    </row>
    <row r="13" spans="2:3" ht="12.75">
      <c r="B13" s="72" t="s">
        <v>344</v>
      </c>
      <c r="C13" s="75">
        <v>1</v>
      </c>
    </row>
    <row r="14" spans="2:3" ht="12.75">
      <c r="B14" s="72" t="s">
        <v>345</v>
      </c>
      <c r="C14" s="76">
        <f>C11*C12*C13/9</f>
        <v>35200</v>
      </c>
    </row>
    <row r="15" spans="2:3" ht="12.75">
      <c r="B15" s="72" t="s">
        <v>346</v>
      </c>
      <c r="C15" s="74">
        <v>15</v>
      </c>
    </row>
    <row r="16" spans="2:3" ht="12.75">
      <c r="B16" s="72" t="s">
        <v>347</v>
      </c>
      <c r="C16" s="75">
        <v>0</v>
      </c>
    </row>
    <row r="17" spans="2:3" ht="12.75">
      <c r="B17" s="72" t="s">
        <v>348</v>
      </c>
      <c r="C17" s="77">
        <v>0</v>
      </c>
    </row>
    <row r="18" spans="2:3" ht="12.75">
      <c r="B18" s="72" t="s">
        <v>349</v>
      </c>
      <c r="C18" s="76">
        <f>C14*C17</f>
        <v>0</v>
      </c>
    </row>
    <row r="19" spans="2:3" ht="12.75">
      <c r="B19" s="72" t="s">
        <v>350</v>
      </c>
      <c r="C19" s="74">
        <v>5</v>
      </c>
    </row>
    <row r="20" spans="2:3" ht="12.75">
      <c r="B20" s="72" t="s">
        <v>351</v>
      </c>
      <c r="C20" s="75">
        <v>2</v>
      </c>
    </row>
    <row r="22" spans="1:8" ht="12.75">
      <c r="A22" s="68" t="s">
        <v>263</v>
      </c>
      <c r="B22" s="45"/>
      <c r="C22" s="45"/>
      <c r="D22" s="45"/>
      <c r="E22" s="69"/>
      <c r="F22" s="69"/>
      <c r="G22" s="69"/>
      <c r="H22" s="68"/>
    </row>
    <row r="23" spans="1:8" ht="12.75">
      <c r="A23" s="78" t="s">
        <v>352</v>
      </c>
      <c r="B23" s="78" t="s">
        <v>353</v>
      </c>
      <c r="C23" s="79" t="s">
        <v>354</v>
      </c>
      <c r="D23" s="78"/>
      <c r="E23" s="79" t="s">
        <v>264</v>
      </c>
      <c r="F23" s="79" t="s">
        <v>255</v>
      </c>
      <c r="G23" s="79" t="s">
        <v>355</v>
      </c>
      <c r="H23" s="79" t="s">
        <v>356</v>
      </c>
    </row>
    <row r="24" spans="2:8" ht="12.75">
      <c r="B24" t="s">
        <v>357</v>
      </c>
      <c r="C24" s="80">
        <f>C29+C30+C31</f>
        <v>18</v>
      </c>
      <c r="E24" s="81">
        <f>((C13*C11*(C12+C13*6))/9+C18)*C24/36</f>
        <v>19360</v>
      </c>
      <c r="F24" s="82" t="s">
        <v>358</v>
      </c>
      <c r="G24" s="83">
        <f>VLOOKUP($B$6,PayItems!A5:$E$19,5,FALSE)</f>
        <v>15</v>
      </c>
      <c r="H24" s="84">
        <f aca="true" t="shared" si="0" ref="H24:H31">G24*E24</f>
        <v>290400</v>
      </c>
    </row>
    <row r="25" spans="2:8" ht="12.75">
      <c r="B25" t="s">
        <v>359</v>
      </c>
      <c r="C25" s="75">
        <v>6</v>
      </c>
      <c r="E25" s="81">
        <f>C11*(C15*2+C16)*C25/(9*36)</f>
        <v>2933.3333333333335</v>
      </c>
      <c r="F25" s="82" t="s">
        <v>358</v>
      </c>
      <c r="G25" s="83">
        <f>VLOOKUP($B$6,PayItems!$A$20:$E$34,5,FALSE)</f>
        <v>10</v>
      </c>
      <c r="H25" s="84">
        <f t="shared" si="0"/>
        <v>29333.333333333336</v>
      </c>
    </row>
    <row r="26" spans="2:8" ht="12.75">
      <c r="B26" t="s">
        <v>360</v>
      </c>
      <c r="C26" s="75">
        <v>12</v>
      </c>
      <c r="E26" s="81">
        <f>C13*C11*(C12+6)*C26/(12*36)</f>
        <v>9680</v>
      </c>
      <c r="F26" s="82" t="s">
        <v>358</v>
      </c>
      <c r="G26" s="83">
        <f>VLOOKUP($B$6,PayItems!$A$35:$E$49,5,FALSE)</f>
        <v>20</v>
      </c>
      <c r="H26" s="84">
        <f t="shared" si="0"/>
        <v>193600</v>
      </c>
    </row>
    <row r="27" spans="2:8" ht="12.75">
      <c r="B27" t="s">
        <v>361</v>
      </c>
      <c r="C27" s="85"/>
      <c r="E27" s="81">
        <f>2*C13*C11</f>
        <v>10560</v>
      </c>
      <c r="F27" s="82" t="s">
        <v>362</v>
      </c>
      <c r="G27" s="83">
        <f>VLOOKUP($B$6,PayItems!$A$50:$E$64,5,FALSE)</f>
        <v>20</v>
      </c>
      <c r="H27" s="84">
        <f t="shared" si="0"/>
        <v>211200</v>
      </c>
    </row>
    <row r="28" spans="2:8" ht="12.75">
      <c r="B28" t="s">
        <v>363</v>
      </c>
      <c r="C28" s="85"/>
      <c r="E28" s="81">
        <f>C11*C20*C19</f>
        <v>52800</v>
      </c>
      <c r="F28" s="82" t="s">
        <v>364</v>
      </c>
      <c r="G28" s="83">
        <f>VLOOKUP($B$6,PayItems!$A$65:$E$79,5,FALSE)</f>
        <v>6</v>
      </c>
      <c r="H28" s="84">
        <f t="shared" si="0"/>
        <v>316800</v>
      </c>
    </row>
    <row r="29" spans="2:8" ht="12.75">
      <c r="B29" t="s">
        <v>365</v>
      </c>
      <c r="C29" s="75">
        <v>0</v>
      </c>
      <c r="E29" s="86">
        <f>((C13*C11*C12)/9+C18)*C29/36</f>
        <v>0</v>
      </c>
      <c r="F29" s="82" t="s">
        <v>358</v>
      </c>
      <c r="G29" s="83">
        <f>VLOOKUP($B$6,PayItems!$A$80:$E$94,5,FALSE)</f>
        <v>400</v>
      </c>
      <c r="H29" s="84">
        <f t="shared" si="0"/>
        <v>0</v>
      </c>
    </row>
    <row r="30" spans="2:8" ht="12.75">
      <c r="B30" t="s">
        <v>366</v>
      </c>
      <c r="C30" s="75">
        <v>4</v>
      </c>
      <c r="E30" s="81">
        <f>2*((C13*C11*(C12-3))/9+C18)*C30/36</f>
        <v>7431.111111111111</v>
      </c>
      <c r="F30" s="82" t="s">
        <v>367</v>
      </c>
      <c r="G30" s="83">
        <f>VLOOKUP($B$6,PayItems!$A$95:$E$109,5,FALSE)</f>
        <v>80</v>
      </c>
      <c r="H30" s="84">
        <f t="shared" si="0"/>
        <v>594488.8888888889</v>
      </c>
    </row>
    <row r="31" spans="1:8" ht="12.75">
      <c r="A31" s="87"/>
      <c r="B31" s="87" t="s">
        <v>368</v>
      </c>
      <c r="C31" s="75">
        <v>14</v>
      </c>
      <c r="D31" s="87"/>
      <c r="E31" s="88">
        <f>((C13*C11*(C12+6))/9+C18)*C31/36</f>
        <v>15057.777777777777</v>
      </c>
      <c r="F31" s="89" t="s">
        <v>358</v>
      </c>
      <c r="G31" s="90">
        <f>VLOOKUP($B$6,PayItems!$A$110:$E$124,5,FALSE)</f>
        <v>15</v>
      </c>
      <c r="H31" s="91">
        <f t="shared" si="0"/>
        <v>225866.66666666666</v>
      </c>
    </row>
    <row r="32" spans="7:8" ht="12.75">
      <c r="G32" s="92" t="s">
        <v>369</v>
      </c>
      <c r="H32" s="93">
        <f>SUM(H24:H31)</f>
        <v>1861688.8888888888</v>
      </c>
    </row>
    <row r="34" spans="1:8" ht="12.75">
      <c r="A34" s="68" t="s">
        <v>370</v>
      </c>
      <c r="B34" s="45"/>
      <c r="C34" s="45"/>
      <c r="D34" s="45"/>
      <c r="E34" s="69"/>
      <c r="F34" s="69"/>
      <c r="G34" s="69"/>
      <c r="H34" s="68"/>
    </row>
    <row r="35" spans="2:8" ht="12.75">
      <c r="B35" s="78" t="s">
        <v>353</v>
      </c>
      <c r="D35" s="78" t="s">
        <v>266</v>
      </c>
      <c r="G35" s="79" t="s">
        <v>267</v>
      </c>
      <c r="H35" s="79" t="s">
        <v>265</v>
      </c>
    </row>
    <row r="36" spans="2:8" ht="12.75">
      <c r="B36" t="s">
        <v>371</v>
      </c>
      <c r="D36" t="s">
        <v>372</v>
      </c>
      <c r="G36" s="94">
        <f>VLOOKUP($B$6,PayItems!$A$5:$H$19,8,FALSE)</f>
        <v>0.6</v>
      </c>
      <c r="H36" s="95">
        <f aca="true" t="shared" si="1" ref="H36:H41">H$32*G36</f>
        <v>1117013.3333333333</v>
      </c>
    </row>
    <row r="37" spans="2:8" ht="12.75">
      <c r="B37" t="s">
        <v>373</v>
      </c>
      <c r="G37" s="94">
        <f>VLOOKUP($B$6,PayItems!$A$20:$H$34,8,FALSE)</f>
        <v>0.1</v>
      </c>
      <c r="H37" s="95">
        <f t="shared" si="1"/>
        <v>186168.88888888888</v>
      </c>
    </row>
    <row r="38" spans="2:8" ht="12.75">
      <c r="B38" t="s">
        <v>374</v>
      </c>
      <c r="D38" s="96"/>
      <c r="G38" s="94">
        <v>0.03</v>
      </c>
      <c r="H38" s="95">
        <f t="shared" si="1"/>
        <v>55850.666666666664</v>
      </c>
    </row>
    <row r="39" spans="2:8" ht="12.75">
      <c r="B39" t="s">
        <v>268</v>
      </c>
      <c r="G39" s="94">
        <f>VLOOKUP($B$6,PayItems!$A$50:$H$64,8,FALSE)</f>
        <v>0</v>
      </c>
      <c r="H39" s="95">
        <f t="shared" si="1"/>
        <v>0</v>
      </c>
    </row>
    <row r="40" spans="2:8" ht="12.75">
      <c r="B40" t="s">
        <v>375</v>
      </c>
      <c r="G40" s="94">
        <f>VLOOKUP($B$6,PayItems!$A$65:$H$79,8,FALSE)</f>
        <v>0.06</v>
      </c>
      <c r="H40" s="95">
        <f t="shared" si="1"/>
        <v>111701.33333333333</v>
      </c>
    </row>
    <row r="41" spans="1:8" ht="12.75">
      <c r="A41" s="87"/>
      <c r="B41" s="87" t="s">
        <v>376</v>
      </c>
      <c r="C41" s="87"/>
      <c r="D41" s="87"/>
      <c r="E41" s="87"/>
      <c r="F41" s="87"/>
      <c r="G41" s="97">
        <f>VLOOKUP($B$6,PayItems!$A$80:$H$94,8,FALSE)</f>
        <v>0.04</v>
      </c>
      <c r="H41" s="98">
        <f t="shared" si="1"/>
        <v>74467.55555555555</v>
      </c>
    </row>
    <row r="42" spans="7:8" ht="12.75">
      <c r="G42" s="92" t="s">
        <v>377</v>
      </c>
      <c r="H42" s="93">
        <f>SUM(H36:H41)</f>
        <v>1545201.7777777775</v>
      </c>
    </row>
    <row r="43" spans="1:8" ht="13.5" thickBot="1">
      <c r="A43" s="99"/>
      <c r="B43" s="99"/>
      <c r="C43" s="99"/>
      <c r="D43" s="99"/>
      <c r="E43" s="99"/>
      <c r="F43" s="99"/>
      <c r="G43" s="99"/>
      <c r="H43" s="99"/>
    </row>
    <row r="44" spans="7:8" ht="12.75">
      <c r="G44" s="100" t="s">
        <v>378</v>
      </c>
      <c r="H44" s="101">
        <f>H32+H42</f>
        <v>3406890.666666666</v>
      </c>
    </row>
    <row r="46" spans="1:8" ht="12.75">
      <c r="A46" s="68" t="s">
        <v>379</v>
      </c>
      <c r="B46" s="45"/>
      <c r="C46" s="45"/>
      <c r="D46" s="45"/>
      <c r="E46" s="69"/>
      <c r="F46" s="69"/>
      <c r="G46" s="69"/>
      <c r="H46" s="68"/>
    </row>
    <row r="47" spans="2:8" ht="12.75">
      <c r="B47" s="78" t="s">
        <v>353</v>
      </c>
      <c r="D47" s="78" t="s">
        <v>266</v>
      </c>
      <c r="G47" s="79" t="s">
        <v>267</v>
      </c>
      <c r="H47" s="79" t="s">
        <v>265</v>
      </c>
    </row>
    <row r="48" spans="2:8" ht="12.75">
      <c r="B48" t="s">
        <v>380</v>
      </c>
      <c r="D48" t="s">
        <v>381</v>
      </c>
      <c r="G48" s="94">
        <f>VLOOKUP($B$6,PayItems!A5:$K$19,11,FALSE)</f>
        <v>0.25</v>
      </c>
      <c r="H48" s="95">
        <f>H$44*G48</f>
        <v>851722.6666666665</v>
      </c>
    </row>
    <row r="49" spans="2:8" ht="12.75">
      <c r="B49" t="s">
        <v>382</v>
      </c>
      <c r="D49" t="s">
        <v>383</v>
      </c>
      <c r="G49" s="94">
        <f>VLOOKUP($B$6,PayItems!$A$20:$K$34,11,FALSE)</f>
        <v>0.12</v>
      </c>
      <c r="H49" s="95">
        <f>H$44*G49</f>
        <v>408826.8799999999</v>
      </c>
    </row>
    <row r="50" spans="2:8" ht="12.75">
      <c r="B50" t="s">
        <v>384</v>
      </c>
      <c r="D50" t="s">
        <v>385</v>
      </c>
      <c r="G50" s="94">
        <f>VLOOKUP($B$6,PayItems!$A$35:$K$49,11,FALSE)</f>
        <v>0.05</v>
      </c>
      <c r="H50" s="95">
        <f>H$44*G50</f>
        <v>170344.53333333333</v>
      </c>
    </row>
    <row r="51" spans="2:8" ht="12.75">
      <c r="B51" t="s">
        <v>386</v>
      </c>
      <c r="G51" s="94">
        <f>VLOOKUP($B$6,PayItems!$A$50:$K$64,11,FALSE)</f>
        <v>0.15</v>
      </c>
      <c r="H51" s="95">
        <f>H$44*G51</f>
        <v>511033.59999999986</v>
      </c>
    </row>
    <row r="52" spans="1:8" ht="12.75">
      <c r="A52" s="87"/>
      <c r="B52" s="87" t="s">
        <v>387</v>
      </c>
      <c r="C52" s="87"/>
      <c r="D52" s="87"/>
      <c r="E52" s="87"/>
      <c r="F52" s="87"/>
      <c r="G52" s="97">
        <f>VLOOKUP($B$6,PayItems!$A$65:$K$79,11,FALSE)</f>
        <v>0</v>
      </c>
      <c r="H52" s="98">
        <f>H$57*G52</f>
        <v>0</v>
      </c>
    </row>
    <row r="53" spans="7:8" ht="12.75">
      <c r="G53" s="92" t="s">
        <v>388</v>
      </c>
      <c r="H53" s="93">
        <f>SUM(H48:H52)</f>
        <v>1941927.6799999995</v>
      </c>
    </row>
    <row r="55" spans="1:8" ht="12.75">
      <c r="A55" s="68" t="s">
        <v>498</v>
      </c>
      <c r="B55" s="45"/>
      <c r="C55" s="45"/>
      <c r="D55" s="45"/>
      <c r="E55" s="69"/>
      <c r="F55" s="69"/>
      <c r="G55" s="69"/>
      <c r="H55" s="68"/>
    </row>
    <row r="56" spans="2:8" ht="12.75">
      <c r="B56" s="78" t="s">
        <v>352</v>
      </c>
      <c r="D56" s="78" t="s">
        <v>266</v>
      </c>
      <c r="H56" s="79" t="s">
        <v>265</v>
      </c>
    </row>
    <row r="57" spans="2:8" ht="12.75">
      <c r="B57" t="s">
        <v>389</v>
      </c>
      <c r="G57" s="79"/>
      <c r="H57" s="102">
        <f>H32</f>
        <v>1861688.8888888888</v>
      </c>
    </row>
    <row r="58" spans="2:8" ht="12.75">
      <c r="B58" t="s">
        <v>390</v>
      </c>
      <c r="H58" s="95">
        <f>H42</f>
        <v>1545201.7777777775</v>
      </c>
    </row>
    <row r="59" spans="1:8" ht="12.75">
      <c r="A59" s="87"/>
      <c r="B59" s="87" t="s">
        <v>391</v>
      </c>
      <c r="C59" s="87"/>
      <c r="D59" s="87"/>
      <c r="E59" s="87"/>
      <c r="F59" s="87"/>
      <c r="G59" s="87"/>
      <c r="H59" s="98">
        <f>H53</f>
        <v>1941927.6799999995</v>
      </c>
    </row>
    <row r="60" spans="7:8" ht="12.75">
      <c r="G60" s="92" t="s">
        <v>392</v>
      </c>
      <c r="H60" s="103">
        <f>SUM(H57:H59)</f>
        <v>5348818.346666666</v>
      </c>
    </row>
  </sheetData>
  <sheetProtection password="FFAE" sheet="1" selectLockedCells="1"/>
  <printOptions/>
  <pageMargins left="0.75" right="0.75" top="1" bottom="1" header="0.5" footer="0.5"/>
  <pageSetup fitToHeight="1" fitToWidth="1" horizontalDpi="600" verticalDpi="600" orientation="portrait" scale="86"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H60"/>
  <sheetViews>
    <sheetView view="pageBreakPreview" zoomScaleSheetLayoutView="100" zoomScalePageLayoutView="0" workbookViewId="0" topLeftCell="A1">
      <selection activeCell="B6" sqref="B6"/>
    </sheetView>
  </sheetViews>
  <sheetFormatPr defaultColWidth="9.140625" defaultRowHeight="12.75"/>
  <cols>
    <col min="1" max="1" width="6.57421875" style="0" customWidth="1"/>
    <col min="2" max="2" width="24.7109375" style="0" customWidth="1"/>
    <col min="3" max="3" width="18.7109375" style="0" customWidth="1"/>
    <col min="4" max="4" width="13.8515625" style="0" customWidth="1"/>
    <col min="5" max="5" width="8.7109375" style="0" customWidth="1"/>
    <col min="6" max="6" width="5.8515625" style="0" customWidth="1"/>
    <col min="7" max="7" width="8.7109375" style="0" customWidth="1"/>
    <col min="8" max="8" width="12.57421875" style="0" customWidth="1"/>
    <col min="9" max="9" width="3.7109375" style="0" customWidth="1"/>
  </cols>
  <sheetData>
    <row r="1" spans="1:8" ht="17.25">
      <c r="A1" s="65" t="s">
        <v>333</v>
      </c>
      <c r="H1" s="66">
        <v>41102</v>
      </c>
    </row>
    <row r="2" ht="13.5">
      <c r="A2" s="67" t="s">
        <v>415</v>
      </c>
    </row>
    <row r="3" ht="13.5">
      <c r="A3" s="67" t="s">
        <v>258</v>
      </c>
    </row>
    <row r="5" spans="1:8" ht="12.75">
      <c r="A5" s="68" t="s">
        <v>259</v>
      </c>
      <c r="B5" s="45"/>
      <c r="C5" s="45"/>
      <c r="D5" s="69" t="s">
        <v>260</v>
      </c>
      <c r="E5" s="45"/>
      <c r="F5" s="69"/>
      <c r="G5" s="69" t="s">
        <v>334</v>
      </c>
      <c r="H5" s="68" t="s">
        <v>335</v>
      </c>
    </row>
    <row r="6" spans="1:2" ht="12.75">
      <c r="A6" s="70" t="s">
        <v>261</v>
      </c>
      <c r="B6" s="71" t="s">
        <v>399</v>
      </c>
    </row>
    <row r="7" spans="1:2" ht="12.75">
      <c r="A7" s="70" t="s">
        <v>262</v>
      </c>
      <c r="B7" s="71" t="s">
        <v>459</v>
      </c>
    </row>
    <row r="8" spans="2:3" ht="12.75">
      <c r="B8" s="72" t="s">
        <v>337</v>
      </c>
      <c r="C8" s="73" t="s">
        <v>38</v>
      </c>
    </row>
    <row r="9" spans="2:3" ht="12.75">
      <c r="B9" s="72" t="s">
        <v>338</v>
      </c>
      <c r="C9" s="73" t="s">
        <v>339</v>
      </c>
    </row>
    <row r="10" spans="2:3" ht="12.75">
      <c r="B10" s="72" t="s">
        <v>340</v>
      </c>
      <c r="C10" s="73" t="s">
        <v>400</v>
      </c>
    </row>
    <row r="11" spans="2:3" ht="12.75">
      <c r="B11" s="72" t="s">
        <v>342</v>
      </c>
      <c r="C11" s="74">
        <v>5280</v>
      </c>
    </row>
    <row r="12" spans="2:3" ht="12.75">
      <c r="B12" s="72" t="s">
        <v>343</v>
      </c>
      <c r="C12" s="74">
        <v>48</v>
      </c>
    </row>
    <row r="13" spans="2:3" ht="12.75">
      <c r="B13" s="72" t="s">
        <v>344</v>
      </c>
      <c r="C13" s="75">
        <v>1</v>
      </c>
    </row>
    <row r="14" spans="2:3" ht="12.75">
      <c r="B14" s="72" t="s">
        <v>345</v>
      </c>
      <c r="C14" s="76">
        <f>C11*C12*C13/9</f>
        <v>28160</v>
      </c>
    </row>
    <row r="15" spans="2:3" ht="12.75">
      <c r="B15" s="72" t="s">
        <v>346</v>
      </c>
      <c r="C15" s="74">
        <v>11</v>
      </c>
    </row>
    <row r="16" spans="2:3" ht="12.75">
      <c r="B16" s="72" t="s">
        <v>347</v>
      </c>
      <c r="C16" s="75">
        <v>0</v>
      </c>
    </row>
    <row r="17" spans="2:3" ht="12.75">
      <c r="B17" s="72" t="s">
        <v>348</v>
      </c>
      <c r="C17" s="77">
        <v>0</v>
      </c>
    </row>
    <row r="18" spans="2:3" ht="12.75">
      <c r="B18" s="72" t="s">
        <v>349</v>
      </c>
      <c r="C18" s="76">
        <f>C14*C17</f>
        <v>0</v>
      </c>
    </row>
    <row r="19" spans="2:3" ht="12.75">
      <c r="B19" s="72" t="s">
        <v>350</v>
      </c>
      <c r="C19" s="74">
        <v>5</v>
      </c>
    </row>
    <row r="20" spans="2:3" ht="12.75">
      <c r="B20" s="72" t="s">
        <v>351</v>
      </c>
      <c r="C20" s="75">
        <v>2</v>
      </c>
    </row>
    <row r="22" spans="1:8" ht="12.75">
      <c r="A22" s="68" t="s">
        <v>263</v>
      </c>
      <c r="B22" s="45"/>
      <c r="C22" s="45"/>
      <c r="D22" s="45"/>
      <c r="E22" s="69"/>
      <c r="F22" s="69"/>
      <c r="G22" s="69"/>
      <c r="H22" s="68"/>
    </row>
    <row r="23" spans="1:8" ht="12.75">
      <c r="A23" s="78" t="s">
        <v>352</v>
      </c>
      <c r="B23" s="78" t="s">
        <v>353</v>
      </c>
      <c r="C23" s="79" t="s">
        <v>354</v>
      </c>
      <c r="D23" s="78"/>
      <c r="E23" s="79" t="s">
        <v>264</v>
      </c>
      <c r="F23" s="79" t="s">
        <v>255</v>
      </c>
      <c r="G23" s="79" t="s">
        <v>355</v>
      </c>
      <c r="H23" s="79" t="s">
        <v>356</v>
      </c>
    </row>
    <row r="24" spans="2:8" ht="12.75">
      <c r="B24" t="s">
        <v>357</v>
      </c>
      <c r="C24" s="80">
        <f>C29+C30+C31</f>
        <v>17.5</v>
      </c>
      <c r="E24" s="81">
        <f>((C13*C11*(C12+C13*6))/9+C18)*C24/36</f>
        <v>15400</v>
      </c>
      <c r="F24" s="82" t="s">
        <v>358</v>
      </c>
      <c r="G24" s="83">
        <f>VLOOKUP($B$6,PayItems!A5:$E$19,5,FALSE)</f>
        <v>15</v>
      </c>
      <c r="H24" s="84">
        <f aca="true" t="shared" si="0" ref="H24:H31">G24*E24</f>
        <v>231000</v>
      </c>
    </row>
    <row r="25" spans="2:8" ht="12.75">
      <c r="B25" t="s">
        <v>359</v>
      </c>
      <c r="C25" s="75">
        <v>6</v>
      </c>
      <c r="E25" s="81">
        <f>C11*(C15*2+C16)*C25/(9*36)</f>
        <v>2151.1111111111113</v>
      </c>
      <c r="F25" s="82" t="s">
        <v>358</v>
      </c>
      <c r="G25" s="83">
        <f>VLOOKUP($B$6,PayItems!$A$20:$E$34,5,FALSE)</f>
        <v>10</v>
      </c>
      <c r="H25" s="84">
        <f t="shared" si="0"/>
        <v>21511.111111111113</v>
      </c>
    </row>
    <row r="26" spans="2:8" ht="12.75">
      <c r="B26" t="s">
        <v>360</v>
      </c>
      <c r="C26" s="75">
        <v>12</v>
      </c>
      <c r="E26" s="81">
        <f>C13*C11*(C12+6)*C26/(12*36)</f>
        <v>7920</v>
      </c>
      <c r="F26" s="82" t="s">
        <v>358</v>
      </c>
      <c r="G26" s="83">
        <f>VLOOKUP($B$6,PayItems!$A$35:$E$49,5,FALSE)</f>
        <v>20</v>
      </c>
      <c r="H26" s="84">
        <f t="shared" si="0"/>
        <v>158400</v>
      </c>
    </row>
    <row r="27" spans="2:8" ht="12.75">
      <c r="B27" t="s">
        <v>361</v>
      </c>
      <c r="C27" s="85"/>
      <c r="E27" s="81">
        <f>2*C13*C11</f>
        <v>10560</v>
      </c>
      <c r="F27" s="82" t="s">
        <v>362</v>
      </c>
      <c r="G27" s="83">
        <f>VLOOKUP($B$6,PayItems!$A$50:$E$64,5,FALSE)</f>
        <v>20</v>
      </c>
      <c r="H27" s="84">
        <f t="shared" si="0"/>
        <v>211200</v>
      </c>
    </row>
    <row r="28" spans="2:8" ht="12.75">
      <c r="B28" t="s">
        <v>363</v>
      </c>
      <c r="C28" s="85"/>
      <c r="E28" s="81">
        <f>C11*C20*C19</f>
        <v>52800</v>
      </c>
      <c r="F28" s="82" t="s">
        <v>364</v>
      </c>
      <c r="G28" s="83">
        <f>VLOOKUP($B$6,PayItems!$A$65:$E$79,5,FALSE)</f>
        <v>6</v>
      </c>
      <c r="H28" s="84">
        <f t="shared" si="0"/>
        <v>316800</v>
      </c>
    </row>
    <row r="29" spans="2:8" ht="12.75">
      <c r="B29" t="s">
        <v>365</v>
      </c>
      <c r="C29" s="75">
        <v>0</v>
      </c>
      <c r="E29" s="86">
        <f>((C13*C11*C12)/9+C18)*C29/36</f>
        <v>0</v>
      </c>
      <c r="F29" s="82" t="s">
        <v>358</v>
      </c>
      <c r="G29" s="83">
        <f>VLOOKUP($B$6,PayItems!$A$80:$E$94,5,FALSE)</f>
        <v>400</v>
      </c>
      <c r="H29" s="84">
        <f t="shared" si="0"/>
        <v>0</v>
      </c>
    </row>
    <row r="30" spans="2:8" ht="12.75">
      <c r="B30" t="s">
        <v>366</v>
      </c>
      <c r="C30" s="75">
        <v>3.5</v>
      </c>
      <c r="E30" s="81">
        <f>2*((C13*C11*(C12-3))/9+C18)*C30/36</f>
        <v>5133.333333333333</v>
      </c>
      <c r="F30" s="82" t="s">
        <v>367</v>
      </c>
      <c r="G30" s="83">
        <f>VLOOKUP($B$6,PayItems!$A$95:$E$109,5,FALSE)</f>
        <v>80</v>
      </c>
      <c r="H30" s="84">
        <f t="shared" si="0"/>
        <v>410666.6666666666</v>
      </c>
    </row>
    <row r="31" spans="1:8" ht="12.75">
      <c r="A31" s="87"/>
      <c r="B31" s="87" t="s">
        <v>368</v>
      </c>
      <c r="C31" s="75">
        <v>14</v>
      </c>
      <c r="D31" s="87"/>
      <c r="E31" s="88">
        <f>((C13*C11*(C12+6))/9+C18)*C31/36</f>
        <v>12320</v>
      </c>
      <c r="F31" s="89" t="s">
        <v>358</v>
      </c>
      <c r="G31" s="90">
        <f>VLOOKUP($B$6,PayItems!$A$110:$E$124,5,FALSE)</f>
        <v>15</v>
      </c>
      <c r="H31" s="91">
        <f t="shared" si="0"/>
        <v>184800</v>
      </c>
    </row>
    <row r="32" spans="7:8" ht="12.75">
      <c r="G32" s="92" t="s">
        <v>369</v>
      </c>
      <c r="H32" s="93">
        <f>SUM(H24:H31)</f>
        <v>1534377.7777777778</v>
      </c>
    </row>
    <row r="34" spans="1:8" ht="12.75">
      <c r="A34" s="68" t="s">
        <v>370</v>
      </c>
      <c r="B34" s="45"/>
      <c r="C34" s="45"/>
      <c r="D34" s="45"/>
      <c r="E34" s="69"/>
      <c r="F34" s="69"/>
      <c r="G34" s="69"/>
      <c r="H34" s="68"/>
    </row>
    <row r="35" spans="2:8" ht="12.75">
      <c r="B35" s="78" t="s">
        <v>353</v>
      </c>
      <c r="D35" s="78" t="s">
        <v>266</v>
      </c>
      <c r="G35" s="79" t="s">
        <v>267</v>
      </c>
      <c r="H35" s="79" t="s">
        <v>265</v>
      </c>
    </row>
    <row r="36" spans="2:8" ht="12.75">
      <c r="B36" t="s">
        <v>371</v>
      </c>
      <c r="D36" t="s">
        <v>372</v>
      </c>
      <c r="G36" s="94">
        <f>VLOOKUP($B$6,PayItems!$A$5:$H$19,8,FALSE)</f>
        <v>0.6</v>
      </c>
      <c r="H36" s="95">
        <f aca="true" t="shared" si="1" ref="H36:H41">H$32*G36</f>
        <v>920626.6666666666</v>
      </c>
    </row>
    <row r="37" spans="2:8" ht="12.75">
      <c r="B37" t="s">
        <v>373</v>
      </c>
      <c r="G37" s="94">
        <f>VLOOKUP($B$6,PayItems!$A$20:$H$34,8,FALSE)</f>
        <v>0.1</v>
      </c>
      <c r="H37" s="95">
        <f t="shared" si="1"/>
        <v>153437.77777777778</v>
      </c>
    </row>
    <row r="38" spans="2:8" ht="12.75">
      <c r="B38" t="s">
        <v>374</v>
      </c>
      <c r="D38" s="96"/>
      <c r="G38" s="94">
        <v>0.03</v>
      </c>
      <c r="H38" s="95">
        <f t="shared" si="1"/>
        <v>46031.33333333333</v>
      </c>
    </row>
    <row r="39" spans="2:8" ht="12.75">
      <c r="B39" t="s">
        <v>268</v>
      </c>
      <c r="G39" s="94">
        <f>VLOOKUP($B$6,PayItems!$A$50:$H$64,8,FALSE)</f>
        <v>0</v>
      </c>
      <c r="H39" s="95">
        <f t="shared" si="1"/>
        <v>0</v>
      </c>
    </row>
    <row r="40" spans="2:8" ht="12.75">
      <c r="B40" t="s">
        <v>375</v>
      </c>
      <c r="G40" s="94">
        <f>VLOOKUP($B$6,PayItems!$A$65:$H$79,8,FALSE)</f>
        <v>0.06</v>
      </c>
      <c r="H40" s="95">
        <f t="shared" si="1"/>
        <v>92062.66666666666</v>
      </c>
    </row>
    <row r="41" spans="1:8" ht="12.75">
      <c r="A41" s="87"/>
      <c r="B41" s="87" t="s">
        <v>376</v>
      </c>
      <c r="C41" s="87"/>
      <c r="D41" s="87"/>
      <c r="E41" s="87"/>
      <c r="F41" s="87"/>
      <c r="G41" s="97">
        <f>VLOOKUP($B$6,PayItems!$A$80:$H$94,8,FALSE)</f>
        <v>0.04</v>
      </c>
      <c r="H41" s="98">
        <f t="shared" si="1"/>
        <v>61375.11111111111</v>
      </c>
    </row>
    <row r="42" spans="7:8" ht="12.75">
      <c r="G42" s="92" t="s">
        <v>377</v>
      </c>
      <c r="H42" s="93">
        <f>SUM(H36:H41)</f>
        <v>1273533.5555555555</v>
      </c>
    </row>
    <row r="43" spans="1:8" ht="13.5" thickBot="1">
      <c r="A43" s="99"/>
      <c r="B43" s="99"/>
      <c r="C43" s="99"/>
      <c r="D43" s="99"/>
      <c r="E43" s="99"/>
      <c r="F43" s="99"/>
      <c r="G43" s="99"/>
      <c r="H43" s="99"/>
    </row>
    <row r="44" spans="7:8" ht="12.75">
      <c r="G44" s="100" t="s">
        <v>378</v>
      </c>
      <c r="H44" s="101">
        <f>H32+H42</f>
        <v>2807911.333333333</v>
      </c>
    </row>
    <row r="46" spans="1:8" ht="12.75">
      <c r="A46" s="68" t="s">
        <v>379</v>
      </c>
      <c r="B46" s="45"/>
      <c r="C46" s="45"/>
      <c r="D46" s="45"/>
      <c r="E46" s="69"/>
      <c r="F46" s="69"/>
      <c r="G46" s="69"/>
      <c r="H46" s="68"/>
    </row>
    <row r="47" spans="2:8" ht="12.75">
      <c r="B47" s="78" t="s">
        <v>353</v>
      </c>
      <c r="D47" s="78" t="s">
        <v>266</v>
      </c>
      <c r="G47" s="79" t="s">
        <v>267</v>
      </c>
      <c r="H47" s="79" t="s">
        <v>265</v>
      </c>
    </row>
    <row r="48" spans="2:8" ht="12.75">
      <c r="B48" t="s">
        <v>380</v>
      </c>
      <c r="D48" t="s">
        <v>381</v>
      </c>
      <c r="G48" s="94">
        <f>VLOOKUP($B$6,PayItems!A5:$K$19,11,FALSE)</f>
        <v>0.25</v>
      </c>
      <c r="H48" s="95">
        <f>H$44*G48</f>
        <v>701977.8333333333</v>
      </c>
    </row>
    <row r="49" spans="2:8" ht="12.75">
      <c r="B49" t="s">
        <v>382</v>
      </c>
      <c r="D49" t="s">
        <v>383</v>
      </c>
      <c r="G49" s="94">
        <f>VLOOKUP($B$6,PayItems!$A$20:$K$34,11,FALSE)</f>
        <v>0.12</v>
      </c>
      <c r="H49" s="95">
        <f>H$44*G49</f>
        <v>336949.3599999999</v>
      </c>
    </row>
    <row r="50" spans="2:8" ht="12.75">
      <c r="B50" t="s">
        <v>384</v>
      </c>
      <c r="D50" t="s">
        <v>385</v>
      </c>
      <c r="G50" s="94">
        <f>VLOOKUP($B$6,PayItems!$A$35:$K$49,11,FALSE)</f>
        <v>0.05</v>
      </c>
      <c r="H50" s="95">
        <f>H$44*G50</f>
        <v>140395.56666666665</v>
      </c>
    </row>
    <row r="51" spans="2:8" ht="12.75">
      <c r="B51" t="s">
        <v>386</v>
      </c>
      <c r="G51" s="94">
        <f>VLOOKUP($B$6,PayItems!$A$50:$K$64,11,FALSE)</f>
        <v>0.15</v>
      </c>
      <c r="H51" s="95">
        <f>H$44*G51</f>
        <v>421186.69999999995</v>
      </c>
    </row>
    <row r="52" spans="1:8" ht="12.75">
      <c r="A52" s="87"/>
      <c r="B52" s="87" t="s">
        <v>387</v>
      </c>
      <c r="C52" s="87"/>
      <c r="D52" s="87"/>
      <c r="E52" s="87"/>
      <c r="F52" s="87"/>
      <c r="G52" s="97">
        <f>VLOOKUP($B$6,PayItems!$A$65:$K$79,11,FALSE)</f>
        <v>0</v>
      </c>
      <c r="H52" s="98">
        <f>H$57*G52</f>
        <v>0</v>
      </c>
    </row>
    <row r="53" spans="7:8" ht="12.75">
      <c r="G53" s="92" t="s">
        <v>388</v>
      </c>
      <c r="H53" s="93">
        <f>SUM(H48:H52)</f>
        <v>1600509.4599999997</v>
      </c>
    </row>
    <row r="55" spans="1:8" ht="12.75">
      <c r="A55" s="68" t="s">
        <v>498</v>
      </c>
      <c r="B55" s="45"/>
      <c r="C55" s="45"/>
      <c r="D55" s="45"/>
      <c r="E55" s="69"/>
      <c r="F55" s="69"/>
      <c r="G55" s="69"/>
      <c r="H55" s="68"/>
    </row>
    <row r="56" spans="2:8" ht="12.75">
      <c r="B56" s="78" t="s">
        <v>352</v>
      </c>
      <c r="D56" s="78" t="s">
        <v>266</v>
      </c>
      <c r="H56" s="79" t="s">
        <v>265</v>
      </c>
    </row>
    <row r="57" spans="2:8" ht="12.75">
      <c r="B57" t="s">
        <v>389</v>
      </c>
      <c r="G57" s="79"/>
      <c r="H57" s="102">
        <f>H32</f>
        <v>1534377.7777777778</v>
      </c>
    </row>
    <row r="58" spans="2:8" ht="12.75">
      <c r="B58" t="s">
        <v>390</v>
      </c>
      <c r="H58" s="95">
        <f>H42</f>
        <v>1273533.5555555555</v>
      </c>
    </row>
    <row r="59" spans="1:8" ht="12.75">
      <c r="A59" s="87"/>
      <c r="B59" s="87" t="s">
        <v>391</v>
      </c>
      <c r="C59" s="87"/>
      <c r="D59" s="87"/>
      <c r="E59" s="87"/>
      <c r="F59" s="87"/>
      <c r="G59" s="87"/>
      <c r="H59" s="98">
        <f>H53</f>
        <v>1600509.4599999997</v>
      </c>
    </row>
    <row r="60" spans="7:8" ht="12.75">
      <c r="G60" s="92" t="s">
        <v>392</v>
      </c>
      <c r="H60" s="103">
        <f>SUM(H57:H59)</f>
        <v>4408420.793333333</v>
      </c>
    </row>
  </sheetData>
  <sheetProtection password="FFAE" sheet="1" selectLockedCells="1"/>
  <printOptions/>
  <pageMargins left="0.75" right="0.75" top="1" bottom="1" header="0.5" footer="0.5"/>
  <pageSetup fitToHeight="1" fitToWidth="1" horizontalDpi="600" verticalDpi="600" orientation="portrait" scale="8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Kimley-Horn and Associates,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KHA User</dc:creator>
  <cp:keywords/>
  <dc:description/>
  <cp:lastModifiedBy>Krause, Cheyenne</cp:lastModifiedBy>
  <cp:lastPrinted>2015-04-24T22:03:23Z</cp:lastPrinted>
  <dcterms:created xsi:type="dcterms:W3CDTF">2006-09-28T18:02:41Z</dcterms:created>
  <dcterms:modified xsi:type="dcterms:W3CDTF">2015-08-04T22:22:58Z</dcterms:modified>
  <cp:category/>
  <cp:version/>
  <cp:contentType/>
  <cp:contentStatus/>
</cp:coreProperties>
</file>